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Chart of Accounts" sheetId="2" state="visible" r:id="rId4"/>
    <sheet name="Trial Balance" sheetId="3" state="visible" r:id="rId5"/>
    <sheet name="12 Month P&amp;L" sheetId="4" state="visible" r:id="rId6"/>
    <sheet name="Budget vs Actual" sheetId="5" state="visible" r:id="rId7"/>
    <sheet name="AR Aging and WIP" sheetId="6" state="visible" r:id="rId8"/>
    <sheet name="AP and Vendor Invoices" sheetId="7" state="visible" r:id="rId9"/>
    <sheet name="Accruals and Prepaids" sheetId="8" state="visible" r:id="rId10"/>
    <sheet name="Payroll and Utilization" sheetId="9" state="visible" r:id="rId11"/>
    <sheet name="Bank Rec Items" sheetId="10" state="visible" r:id="rId12"/>
    <sheet name="Answer Key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<sst xmlns="http://schemas.openxmlformats.org/spreadsheetml/2006/main" count="718" uniqueCount="429">
  <si>
    <t xml:space="preserve">Close Lab: Harbor and Pine Advisory</t>
  </si>
  <si>
    <t xml:space="preserve">A fictional professional services firm built for testing AI tools on FP&amp;A and month end close. September 2026, USD.</t>
  </si>
  <si>
    <t xml:space="preserve">About the firm</t>
  </si>
  <si>
    <t xml:space="preserve">Firm</t>
  </si>
  <si>
    <t xml:space="preserve">Harbor and Pine Advisory (fictional)</t>
  </si>
  <si>
    <t xml:space="preserve">Delivery staff</t>
  </si>
  <si>
    <t xml:space="preserve">Service lines</t>
  </si>
  <si>
    <t xml:space="preserve">Advisory, Implementation, Managed services, Training</t>
  </si>
  <si>
    <t xml:space="preserve">Close period</t>
  </si>
  <si>
    <t xml:space="preserve">September 2026</t>
  </si>
  <si>
    <t xml:space="preserve">Currency</t>
  </si>
  <si>
    <t xml:space="preserve">USD</t>
  </si>
  <si>
    <t xml:space="preserve">Sheet map</t>
  </si>
  <si>
    <t xml:space="preserve">No.</t>
  </si>
  <si>
    <t xml:space="preserve">Sheet</t>
  </si>
  <si>
    <t xml:space="preserve">What it holds and what to use it for</t>
  </si>
  <si>
    <t xml:space="preserve">Guide</t>
  </si>
  <si>
    <t xml:space="preserve">This page</t>
  </si>
  <si>
    <t xml:space="preserve">Chart of Accounts</t>
  </si>
  <si>
    <t xml:space="preserve">Account lookup and coding questions</t>
  </si>
  <si>
    <t xml:space="preserve">Trial Balance</t>
  </si>
  <si>
    <t xml:space="preserve">Month over month and year over year flux</t>
  </si>
  <si>
    <t xml:space="preserve">12 Month P&amp;L</t>
  </si>
  <si>
    <t xml:space="preserve">Trends, margins and forecasting</t>
  </si>
  <si>
    <t xml:space="preserve">Budget vs Actual</t>
  </si>
  <si>
    <t xml:space="preserve">Variance analysis and commentary</t>
  </si>
  <si>
    <t xml:space="preserve">AR Aging and WIP</t>
  </si>
  <si>
    <t xml:space="preserve">Collections and unbilled revenue</t>
  </si>
  <si>
    <t xml:space="preserve">AP and Vendor Invoices</t>
  </si>
  <si>
    <t xml:space="preserve">Cutoff and coding review</t>
  </si>
  <si>
    <t xml:space="preserve">Accruals and Prepaids</t>
  </si>
  <si>
    <t xml:space="preserve">Accrual and amortization checks</t>
  </si>
  <si>
    <t xml:space="preserve">Payroll and Utilization</t>
  </si>
  <si>
    <t xml:space="preserve">Workforce and profitability metrics</t>
  </si>
  <si>
    <t xml:space="preserve">Bank Rec Items</t>
  </si>
  <si>
    <t xml:space="preserve">Bank reconciliation</t>
  </si>
  <si>
    <t xml:space="preserve">Answer Key</t>
  </si>
  <si>
    <t xml:space="preserve">Verify your results. Open last</t>
  </si>
  <si>
    <t xml:space="preserve">How to use it</t>
  </si>
  <si>
    <t xml:space="preserve">1. Pick a task from the article and note which sheet it names.</t>
  </si>
  <si>
    <t xml:space="preserve">2. Start a fresh chat in ChatGPT or Claude and attach only the sheets that task needs.</t>
  </si>
  <si>
    <t xml:space="preserve">3. Recalculate the key numbers in Excel, then compare with the answer key.</t>
  </si>
  <si>
    <t xml:space="preserve">Ground rules</t>
  </si>
  <si>
    <t xml:space="preserve">All names and numbers are fictional. Never upload real client data to a public AI tool.</t>
  </si>
  <si>
    <t xml:space="preserve">AI output needs human review before any figure is used.</t>
  </si>
  <si>
    <t xml:space="preserve">Try the tasks before opening the answer key.</t>
  </si>
  <si>
    <t xml:space="preserve">Integrity checks, all should show OK</t>
  </si>
  <si>
    <t xml:space="preserve">Check</t>
  </si>
  <si>
    <t xml:space="preserve">Result</t>
  </si>
  <si>
    <t xml:space="preserve">Trial balance balances in all three periods</t>
  </si>
  <si>
    <t xml:space="preserve">Receivables aging agrees to account 1100</t>
  </si>
  <si>
    <t xml:space="preserve">WIP booked agrees to account 1200</t>
  </si>
  <si>
    <t xml:space="preserve">Prepaid ledger agrees to account 1300</t>
  </si>
  <si>
    <t xml:space="preserve">Accruals booked agree to account 2100</t>
  </si>
  <si>
    <t xml:space="preserve">Open AP invoices agree to account 2000</t>
  </si>
  <si>
    <t xml:space="preserve">Bank reconciliation reconciles</t>
  </si>
  <si>
    <t xml:space="preserve">Team salaries agree to account 5000</t>
  </si>
  <si>
    <t xml:space="preserve">September net income on the P&amp;L agrees to the trial balance</t>
  </si>
  <si>
    <t xml:space="preserve">Colour key</t>
  </si>
  <si>
    <t xml:space="preserve">Blue text is entered data.</t>
  </si>
  <si>
    <t xml:space="preserve">Black text is a formula.</t>
  </si>
  <si>
    <t xml:space="preserve">Green text is linked from another sheet.</t>
  </si>
  <si>
    <t xml:space="preserve">Yellow cells are inputs you can change.</t>
  </si>
  <si>
    <t xml:space="preserve">Chart of accounts</t>
  </si>
  <si>
    <t xml:space="preserve">Harbor and Pine Advisory (fictional professional services firm), USD</t>
  </si>
  <si>
    <t xml:space="preserve">Account name</t>
  </si>
  <si>
    <t xml:space="preserve">Group</t>
  </si>
  <si>
    <t xml:space="preserve">Normal balance</t>
  </si>
  <si>
    <t xml:space="preserve">Used in sheets</t>
  </si>
  <si>
    <t xml:space="preserve">Operating bank account</t>
  </si>
  <si>
    <t xml:space="preserve">Assets</t>
  </si>
  <si>
    <t xml:space="preserve">Dr</t>
  </si>
  <si>
    <t xml:space="preserve">TB, BANK</t>
  </si>
  <si>
    <t xml:space="preserve">Accounts receivable</t>
  </si>
  <si>
    <t xml:space="preserve">TB, AR</t>
  </si>
  <si>
    <t xml:space="preserve">Allowance for doubtful accounts</t>
  </si>
  <si>
    <t xml:space="preserve">Cr</t>
  </si>
  <si>
    <t xml:space="preserve">Unbilled revenue (WIP)</t>
  </si>
  <si>
    <t xml:space="preserve">TB, AR, ACR</t>
  </si>
  <si>
    <t xml:space="preserve">Prepaid expenses</t>
  </si>
  <si>
    <t xml:space="preserve">TB, ACR</t>
  </si>
  <si>
    <t xml:space="preserve">Equipment and software</t>
  </si>
  <si>
    <t xml:space="preserve">TB</t>
  </si>
  <si>
    <t xml:space="preserve">Accumulated depreciation</t>
  </si>
  <si>
    <t xml:space="preserve">Accounts payable</t>
  </si>
  <si>
    <t xml:space="preserve">Liabilities</t>
  </si>
  <si>
    <t xml:space="preserve">TB, AP</t>
  </si>
  <si>
    <t xml:space="preserve">Accrued expenses</t>
  </si>
  <si>
    <t xml:space="preserve">Accrued payroll and bonus</t>
  </si>
  <si>
    <t xml:space="preserve">TB, PAY, ACR</t>
  </si>
  <si>
    <t xml:space="preserve">Deferred revenue</t>
  </si>
  <si>
    <t xml:space="preserve">Payroll taxes payable</t>
  </si>
  <si>
    <t xml:space="preserve">TB, PAY</t>
  </si>
  <si>
    <t xml:space="preserve">Line of credit</t>
  </si>
  <si>
    <t xml:space="preserve">Common stock</t>
  </si>
  <si>
    <t xml:space="preserve">Equity</t>
  </si>
  <si>
    <t xml:space="preserve">Retained earnings</t>
  </si>
  <si>
    <t xml:space="preserve">Advisory fees</t>
  </si>
  <si>
    <t xml:space="preserve">Revenue</t>
  </si>
  <si>
    <t xml:space="preserve">TB, PL, BvA</t>
  </si>
  <si>
    <t xml:space="preserve">Implementation fees</t>
  </si>
  <si>
    <t xml:space="preserve">Managed services</t>
  </si>
  <si>
    <t xml:space="preserve">Training revenue</t>
  </si>
  <si>
    <t xml:space="preserve">Consultant salaries</t>
  </si>
  <si>
    <t xml:space="preserve">Cost of services</t>
  </si>
  <si>
    <t xml:space="preserve">TB, PL, PAY</t>
  </si>
  <si>
    <t xml:space="preserve">Contractor costs</t>
  </si>
  <si>
    <t xml:space="preserve">TB, PL, AP</t>
  </si>
  <si>
    <t xml:space="preserve">Billable travel</t>
  </si>
  <si>
    <t xml:space="preserve">Rent</t>
  </si>
  <si>
    <t xml:space="preserve">Operating expenses</t>
  </si>
  <si>
    <t xml:space="preserve">Software subscriptions</t>
  </si>
  <si>
    <t xml:space="preserve">Marketing</t>
  </si>
  <si>
    <t xml:space="preserve">Professional fees</t>
  </si>
  <si>
    <t xml:space="preserve">Travel and meals</t>
  </si>
  <si>
    <t xml:space="preserve">Insurance</t>
  </si>
  <si>
    <t xml:space="preserve">TB, PL, ACR</t>
  </si>
  <si>
    <t xml:space="preserve">Depreciation</t>
  </si>
  <si>
    <t xml:space="preserve">TB, PL</t>
  </si>
  <si>
    <t xml:space="preserve">Bad debt expense</t>
  </si>
  <si>
    <t xml:space="preserve">TB, PL, AR</t>
  </si>
  <si>
    <t xml:space="preserve">Interest expense</t>
  </si>
  <si>
    <t xml:space="preserve">Other</t>
  </si>
  <si>
    <t xml:space="preserve">Sheet codes: TB trial balance, PL 12 month P&amp;L, BvA budget vs actual, AR AR aging and WIP, AP AP and vendor invoices, ACR accruals and prepaids, PAY payroll and utilization, BANK bank rec items.</t>
  </si>
  <si>
    <t xml:space="preserve">Trial balance</t>
  </si>
  <si>
    <t xml:space="preserve">September 2026 close, USD. Debits positive, credits in brackets.</t>
  </si>
  <si>
    <t xml:space="preserve">Yellow cells are inputs you can change. Blue text is entered data, black is formulas, green is linked from another sheet.</t>
  </si>
  <si>
    <t xml:space="preserve">Flux flag: percent change at or above</t>
  </si>
  <si>
    <t xml:space="preserve">Flux flag: dollar change at or above</t>
  </si>
  <si>
    <t xml:space="preserve">Account</t>
  </si>
  <si>
    <t xml:space="preserve">Type</t>
  </si>
  <si>
    <t xml:space="preserve">Sep 2026</t>
  </si>
  <si>
    <t xml:space="preserve">Aug 2026</t>
  </si>
  <si>
    <t xml:space="preserve">Sep 2025</t>
  </si>
  <si>
    <t xml:space="preserve">Change $ vs Aug</t>
  </si>
  <si>
    <t xml:space="preserve">Change % vs Aug</t>
  </si>
  <si>
    <t xml:space="preserve">Change % vs Sep 2025</t>
  </si>
  <si>
    <t xml:space="preserve">Flux flag</t>
  </si>
  <si>
    <t xml:space="preserve">Balance sheet</t>
  </si>
  <si>
    <t xml:space="preserve">P&amp;L</t>
  </si>
  <si>
    <t xml:space="preserve">Total, should be zero</t>
  </si>
  <si>
    <t xml:space="preserve">Notes</t>
  </si>
  <si>
    <t xml:space="preserve">1. Balance sheet accounts show closing balances. Profit and loss accounts show activity for the month only.</t>
  </si>
  <si>
    <t xml:space="preserve">2. Retained earnings (3100) includes profit for the year up to the prior month end, so total debits equal total credits.</t>
  </si>
  <si>
    <t xml:space="preserve">3. All names and figures are fictional demo data for Harbor and Pine Advisory. Retained earnings is never flagged because its movement is mechanical.</t>
  </si>
  <si>
    <t xml:space="preserve">12 month P&amp;L</t>
  </si>
  <si>
    <t xml:space="preserve">October 2025 to September 2026, USD. Revenue and costs shown as positive numbers. Aug 2026, Sep 2026 and Sep 2025 are linked to the trial balance.</t>
  </si>
  <si>
    <t xml:space="preserve">Acct</t>
  </si>
  <si>
    <t xml:space="preserve">Line</t>
  </si>
  <si>
    <t xml:space="preserve">Oct 2025</t>
  </si>
  <si>
    <t xml:space="preserve">Nov 2025</t>
  </si>
  <si>
    <t xml:space="preserve">Dec 2025</t>
  </si>
  <si>
    <t xml:space="preserve">Jan 2026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</si>
  <si>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</si>
  <si>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</si>
  <si>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</si>
  <si>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</si>
  <si>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</si>
  <si>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</si>
  <si>
    <t xml:space="preserve">12M total</t>
  </si>
  <si>
    <t xml:space="preserve">Total revenue</t>
  </si>
  <si>
    <t xml:space="preserve">Total cost of services</t>
  </si>
  <si>
    <t xml:space="preserve">Gross profit</t>
  </si>
  <si>
    <t xml:space="preserve">Gross margin</t>
  </si>
  <si>
    <t xml:space="preserve">Total operating expenses</t>
  </si>
  <si>
    <t xml:space="preserve">Operating income</t>
  </si>
  <si>
    <t xml:space="preserve">Net income</t>
  </si>
  <si>
    <t xml:space="preserve">Note: months from Oct 2025 to Jul 2026 are entered data. Gross margin is gross profit divided by total revenue.</t>
  </si>
  <si>
    <t xml:space="preserve">Budget vs actual</t>
  </si>
  <si>
    <t xml:space="preserve">September 2026 and year to date (Jan to Sep 2026), USD. Variance is actual minus budget.</t>
  </si>
  <si>
    <t xml:space="preserve">On budget tolerance</t>
  </si>
  <si>
    <t xml:space="preserve">Material variance percent</t>
  </si>
  <si>
    <t xml:space="preserve">Material variance dollars</t>
  </si>
  <si>
    <t xml:space="preserve">Year to date, Jan to Sep 2026</t>
  </si>
  <si>
    <t xml:space="preserve">Actual</t>
  </si>
  <si>
    <t xml:space="preserve">Budget</t>
  </si>
  <si>
    <t xml:space="preserve">Variance $</t>
  </si>
  <si>
    <t xml:space="preserve">Variance %</t>
  </si>
  <si>
    <t xml:space="preserve">Status</t>
  </si>
  <si>
    <t xml:space="preserve">Expense</t>
  </si>
  <si>
    <t xml:space="preserve">Total expenses shown</t>
  </si>
  <si>
    <t xml:space="preserve">Revenue above budget is favorable. Expenses above budget are unfavorable. Within the on budget tolerance shows as on budget. Bold variance meets both materiality thresholds.</t>
  </si>
  <si>
    <t xml:space="preserve">AR aging and WIP</t>
  </si>
  <si>
    <t xml:space="preserve">Receivables aged at the date below, then unbilled work in progress. USD, fictional clients.</t>
  </si>
  <si>
    <t xml:space="preserve">Aged as of</t>
  </si>
  <si>
    <t xml:space="preserve">Age bucket</t>
  </si>
  <si>
    <t xml:space="preserve">Current</t>
  </si>
  <si>
    <t xml:space="preserve">1 to 30</t>
  </si>
  <si>
    <t xml:space="preserve">31 to 60</t>
  </si>
  <si>
    <t xml:space="preserve">61 to 90</t>
  </si>
  <si>
    <t xml:space="preserve">90 plus</t>
  </si>
  <si>
    <t xml:space="preserve">Total</t>
  </si>
  <si>
    <t xml:space="preserve">Amount</t>
  </si>
  <si>
    <t xml:space="preserve">Invoices</t>
  </si>
  <si>
    <t xml:space="preserve">Invoice</t>
  </si>
  <si>
    <t xml:space="preserve">Client</t>
  </si>
  <si>
    <t xml:space="preserve">Service line</t>
  </si>
  <si>
    <t xml:space="preserve">Invoice date</t>
  </si>
  <si>
    <t xml:space="preserve">Terms (days)</t>
  </si>
  <si>
    <t xml:space="preserve">Due date</t>
  </si>
  <si>
    <t xml:space="preserve">Last client payment</t>
  </si>
  <si>
    <t xml:space="preserve">Days past due</t>
  </si>
  <si>
    <t xml:space="preserve">Bucket</t>
  </si>
  <si>
    <t xml:space="preserve">INV-2026-0412</t>
  </si>
  <si>
    <t xml:space="preserve">Cedar Valley Logistics</t>
  </si>
  <si>
    <t xml:space="preserve">Advisory</t>
  </si>
  <si>
    <t xml:space="preserve">INV-2026-0398</t>
  </si>
  <si>
    <t xml:space="preserve">Harborline Retail Group</t>
  </si>
  <si>
    <t xml:space="preserve">Implementation</t>
  </si>
  <si>
    <t xml:space="preserve">INV-2026-0405</t>
  </si>
  <si>
    <t xml:space="preserve">Summit Ridge Clinics</t>
  </si>
  <si>
    <t xml:space="preserve">INV-2026-0371</t>
  </si>
  <si>
    <t xml:space="preserve">INV-2026-0355</t>
  </si>
  <si>
    <t xml:space="preserve">Lakeshore Foods</t>
  </si>
  <si>
    <t xml:space="preserve">INV-2026-0330</t>
  </si>
  <si>
    <t xml:space="preserve">Redwood Dental Partners</t>
  </si>
  <si>
    <t xml:space="preserve">INV-2026-0302</t>
  </si>
  <si>
    <t xml:space="preserve">Ironbridge Manufacturing</t>
  </si>
  <si>
    <t xml:space="preserve">INV-2026-0268</t>
  </si>
  <si>
    <t xml:space="preserve">Maple Court Hotels</t>
  </si>
  <si>
    <t xml:space="preserve">Training</t>
  </si>
  <si>
    <t xml:space="preserve">INV-2026-0195</t>
  </si>
  <si>
    <t xml:space="preserve">Tidewater Energy Services</t>
  </si>
  <si>
    <t xml:space="preserve">INV-2026-0418</t>
  </si>
  <si>
    <t xml:space="preserve">INV-2026-0421</t>
  </si>
  <si>
    <t xml:space="preserve">INV-2026-0340</t>
  </si>
  <si>
    <t xml:space="preserve">INV-2026-0388</t>
  </si>
  <si>
    <t xml:space="preserve">INV-2026-0392</t>
  </si>
  <si>
    <t xml:space="preserve">Total receivables</t>
  </si>
  <si>
    <t xml:space="preserve">Less trial balance account 1100, should be zero</t>
  </si>
  <si>
    <t xml:space="preserve">Unbilled work in progress (account 1200)</t>
  </si>
  <si>
    <t xml:space="preserve">Project</t>
  </si>
  <si>
    <t xml:space="preserve">Unbilled hours</t>
  </si>
  <si>
    <t xml:space="preserve">Rate ($ per hour)</t>
  </si>
  <si>
    <t xml:space="preserve">Value at rates</t>
  </si>
  <si>
    <t xml:space="preserve">Booked in 1200</t>
  </si>
  <si>
    <t xml:space="preserve">Ledger cleanup project</t>
  </si>
  <si>
    <t xml:space="preserve">Reporting dashboard build</t>
  </si>
  <si>
    <t xml:space="preserve">Advisory strategy review</t>
  </si>
  <si>
    <t xml:space="preserve">Managed services Sep true up</t>
  </si>
  <si>
    <t xml:space="preserve">Training program delivery</t>
  </si>
  <si>
    <t xml:space="preserve">Total WIP</t>
  </si>
  <si>
    <t xml:space="preserve">Less trial balance account 1200, should be zero</t>
  </si>
  <si>
    <t xml:space="preserve">AP and vendor invoices</t>
  </si>
  <si>
    <t xml:space="preserve">Invoice register exported from the accounting system, USD, fictional vendors. No review columns, by design.</t>
  </si>
  <si>
    <t xml:space="preserve">Vendor</t>
  </si>
  <si>
    <t xml:space="preserve">Invoice no.</t>
  </si>
  <si>
    <t xml:space="preserve">Description</t>
  </si>
  <si>
    <t xml:space="preserve">Posted date</t>
  </si>
  <si>
    <t xml:space="preserve">GL account</t>
  </si>
  <si>
    <t xml:space="preserve">Approver</t>
  </si>
  <si>
    <t xml:space="preserve">Payment date</t>
  </si>
  <si>
    <t xml:space="preserve">Metro Office Leasing</t>
  </si>
  <si>
    <t xml:space="preserve">OL-0826</t>
  </si>
  <si>
    <t xml:space="preserve">Office rent August</t>
  </si>
  <si>
    <t xml:space="preserve">D. Alvarez</t>
  </si>
  <si>
    <t xml:space="preserve">Paid</t>
  </si>
  <si>
    <t xml:space="preserve">Cloudline Software</t>
  </si>
  <si>
    <t xml:space="preserve">CL-87702</t>
  </si>
  <si>
    <t xml:space="preserve">Project management platform, August</t>
  </si>
  <si>
    <t xml:space="preserve">M. Chen</t>
  </si>
  <si>
    <t xml:space="preserve">Pinecrest Legal LLP</t>
  </si>
  <si>
    <t xml:space="preserve">4388</t>
  </si>
  <si>
    <t xml:space="preserve">Regulatory filing support</t>
  </si>
  <si>
    <t xml:space="preserve">Northgate Contractors</t>
  </si>
  <si>
    <t xml:space="preserve">NC-1102</t>
  </si>
  <si>
    <t xml:space="preserve">Delivery support, Reporting dashboard build</t>
  </si>
  <si>
    <t xml:space="preserve">Open</t>
  </si>
  <si>
    <t xml:space="preserve">Data Harbor Hosting</t>
  </si>
  <si>
    <t xml:space="preserve">DH-5388</t>
  </si>
  <si>
    <t xml:space="preserve">Cloud hosting, August</t>
  </si>
  <si>
    <t xml:space="preserve">OL-0926</t>
  </si>
  <si>
    <t xml:space="preserve">Office rent September</t>
  </si>
  <si>
    <t xml:space="preserve">CL-88231</t>
  </si>
  <si>
    <t xml:space="preserve">Project management platform, September</t>
  </si>
  <si>
    <t xml:space="preserve">4417</t>
  </si>
  <si>
    <t xml:space="preserve">Client contract review</t>
  </si>
  <si>
    <t xml:space="preserve">Lakeview Conference Center</t>
  </si>
  <si>
    <t xml:space="preserve">LC-7742</t>
  </si>
  <si>
    <t xml:space="preserve">Annual client summit venue and catering</t>
  </si>
  <si>
    <t xml:space="preserve">SkyHigh Travel Desk</t>
  </si>
  <si>
    <t xml:space="preserve">SH-60390</t>
  </si>
  <si>
    <t xml:space="preserve">Annual client summit attendee hotels and travel</t>
  </si>
  <si>
    <t xml:space="preserve">Brightline Systems</t>
  </si>
  <si>
    <t xml:space="preserve">BS-2201</t>
  </si>
  <si>
    <t xml:space="preserve">Data engineering support, Reporting dashboard build</t>
  </si>
  <si>
    <t xml:space="preserve">Evergreen Telecom</t>
  </si>
  <si>
    <t xml:space="preserve">EV-0904</t>
  </si>
  <si>
    <t xml:space="preserve">Telephone and internet</t>
  </si>
  <si>
    <t xml:space="preserve">Clearview Insurance Brokers</t>
  </si>
  <si>
    <t xml:space="preserve">CIB-7731</t>
  </si>
  <si>
    <t xml:space="preserve">Cyber liability premium, September</t>
  </si>
  <si>
    <t xml:space="preserve">Keystone Analytics</t>
  </si>
  <si>
    <t xml:space="preserve">KA-0931</t>
  </si>
  <si>
    <t xml:space="preserve">Subcontract delivery support, Implementation project</t>
  </si>
  <si>
    <t xml:space="preserve">NC-1156</t>
  </si>
  <si>
    <t xml:space="preserve">Delivery support, Implementation project</t>
  </si>
  <si>
    <t xml:space="preserve">NC1156</t>
  </si>
  <si>
    <t xml:space="preserve">Bluefin Digital Ads</t>
  </si>
  <si>
    <t xml:space="preserve">BD-1180</t>
  </si>
  <si>
    <t xml:space="preserve">Online advertising, September</t>
  </si>
  <si>
    <t xml:space="preserve">SH-60412</t>
  </si>
  <si>
    <t xml:space="preserve">Client project travel</t>
  </si>
  <si>
    <t xml:space="preserve">DH-5520</t>
  </si>
  <si>
    <t xml:space="preserve">Cloud hosting, September</t>
  </si>
  <si>
    <t xml:space="preserve">Granite Print and Marketing</t>
  </si>
  <si>
    <t xml:space="preserve">GP-3347</t>
  </si>
  <si>
    <t xml:space="preserve">Brochures and event signage</t>
  </si>
  <si>
    <t xml:space="preserve">Open invoices total</t>
  </si>
  <si>
    <t xml:space="preserve">Open invoices less trial balance account 2000, should be zero</t>
  </si>
  <si>
    <t xml:space="preserve">Accruals and prepaids</t>
  </si>
  <si>
    <t xml:space="preserve">Recurring accruals as booked, and the prepaid schedule against the ledger. USD. No difference columns, by design.</t>
  </si>
  <si>
    <t xml:space="preserve">As of</t>
  </si>
  <si>
    <t xml:space="preserve">Recurring accruals</t>
  </si>
  <si>
    <t xml:space="preserve">Item</t>
  </si>
  <si>
    <t xml:space="preserve">Basis</t>
  </si>
  <si>
    <t xml:space="preserve">Expected monthly</t>
  </si>
  <si>
    <t xml:space="preserve">Aug booked</t>
  </si>
  <si>
    <t xml:space="preserve">Sep booked</t>
  </si>
  <si>
    <t xml:space="preserve">Annual bonus pool</t>
  </si>
  <si>
    <t xml:space="preserve">1/12 of pool</t>
  </si>
  <si>
    <t xml:space="preserve">Audit fee</t>
  </si>
  <si>
    <t xml:space="preserve">1/12 of annual fee</t>
  </si>
  <si>
    <t xml:space="preserve">Utilities and telecom</t>
  </si>
  <si>
    <t xml:space="preserve">Monthly estimate</t>
  </si>
  <si>
    <t xml:space="preserve">Contractor hours not yet invoiced</t>
  </si>
  <si>
    <t xml:space="preserve">Timesheets</t>
  </si>
  <si>
    <t xml:space="preserve">Varies</t>
  </si>
  <si>
    <t xml:space="preserve">Interest on credit line</t>
  </si>
  <si>
    <t xml:space="preserve">Rate times balance</t>
  </si>
  <si>
    <t xml:space="preserve">Accrued expenses booked in 2100</t>
  </si>
  <si>
    <t xml:space="preserve">Less trial balance account 2100 for Sep, should be zero</t>
  </si>
  <si>
    <t xml:space="preserve">Start date</t>
  </si>
  <si>
    <t xml:space="preserve">Term (months)</t>
  </si>
  <si>
    <t xml:space="preserve">Total paid</t>
  </si>
  <si>
    <t xml:space="preserve">Monthly charge</t>
  </si>
  <si>
    <t xml:space="preserve">Months elapsed</t>
  </si>
  <si>
    <t xml:space="preserve">Per schedule</t>
  </si>
  <si>
    <t xml:space="preserve">Per ledger</t>
  </si>
  <si>
    <t xml:space="preserve">Professional liability insurance</t>
  </si>
  <si>
    <t xml:space="preserve">Annual software licence</t>
  </si>
  <si>
    <t xml:space="preserve">Conference sponsorship</t>
  </si>
  <si>
    <t xml:space="preserve">Total prepaid</t>
  </si>
  <si>
    <t xml:space="preserve">Ledger total less trial balance account 1300, should be zero</t>
  </si>
  <si>
    <t xml:space="preserve">Payroll and utilization</t>
  </si>
  <si>
    <t xml:space="preserve">September 2026, USD. Utilization is billable hours divided by available hours.</t>
  </si>
  <si>
    <t xml:space="preserve">Utilization status: within target by (points)</t>
  </si>
  <si>
    <t xml:space="preserve">Team</t>
  </si>
  <si>
    <t xml:space="preserve">Headcount</t>
  </si>
  <si>
    <t xml:space="preserve">Available hours</t>
  </si>
  <si>
    <t xml:space="preserve">Billable hours</t>
  </si>
  <si>
    <t xml:space="preserve">Utilization</t>
  </si>
  <si>
    <t xml:space="preserve">Target</t>
  </si>
  <si>
    <t xml:space="preserve">Salary cost</t>
  </si>
  <si>
    <t xml:space="preserve">Cost per billable hour</t>
  </si>
  <si>
    <t xml:space="preserve">Revenue (from TB)</t>
  </si>
  <si>
    <t xml:space="preserve">Revenue per billable hour</t>
  </si>
  <si>
    <t xml:space="preserve">Standard rate</t>
  </si>
  <si>
    <t xml:space="preserve">Realization</t>
  </si>
  <si>
    <t xml:space="preserve">Firm total</t>
  </si>
  <si>
    <t xml:space="preserve">Salary cost less trial balance account 5000, should be zero</t>
  </si>
  <si>
    <t xml:space="preserve">Payroll liabilities</t>
  </si>
  <si>
    <t xml:space="preserve">Payroll taxes payable, account 2250</t>
  </si>
  <si>
    <t xml:space="preserve">Bonus accrual charge for September</t>
  </si>
  <si>
    <t xml:space="preserve">Bonus accrual balance, account 2150</t>
  </si>
  <si>
    <t xml:space="preserve">Realization is revenue divided by billable hours at standard rates. Standard rates and targets are entered data.</t>
  </si>
  <si>
    <t xml:space="preserve">Bank rec items</t>
  </si>
  <si>
    <t xml:space="preserve">Operating bank account, USD. Set Open to N for an item once it has cleared.</t>
  </si>
  <si>
    <t xml:space="preserve">Balance per bank statement</t>
  </si>
  <si>
    <t xml:space="preserve">Add deposits in transit</t>
  </si>
  <si>
    <t xml:space="preserve">Less outstanding payments</t>
  </si>
  <si>
    <t xml:space="preserve">Adjusted bank balance</t>
  </si>
  <si>
    <t xml:space="preserve">Balance per GL account 1000</t>
  </si>
  <si>
    <t xml:space="preserve">Add unrecorded receipts</t>
  </si>
  <si>
    <t xml:space="preserve">Less bank fees not booked</t>
  </si>
  <si>
    <t xml:space="preserve">Adjusted book balance</t>
  </si>
  <si>
    <t xml:space="preserve">Difference between adjusted balances</t>
  </si>
  <si>
    <t xml:space="preserve">Reconciling items</t>
  </si>
  <si>
    <t xml:space="preserve">Reference and detail</t>
  </si>
  <si>
    <t xml:space="preserve">Date</t>
  </si>
  <si>
    <t xml:space="preserve">Days open</t>
  </si>
  <si>
    <t xml:space="preserve">Open (Y or N)</t>
  </si>
  <si>
    <t xml:space="preserve">DEP-0929 Summit Ridge Clinics receipt</t>
  </si>
  <si>
    <t xml:space="preserve">Deposit in transit</t>
  </si>
  <si>
    <t xml:space="preserve">Y</t>
  </si>
  <si>
    <t xml:space="preserve">PAY-0925 Vendor payment run</t>
  </si>
  <si>
    <t xml:space="preserve">Outstanding payment</t>
  </si>
  <si>
    <t xml:space="preserve">PAY-0919 Payroll tax remittance</t>
  </si>
  <si>
    <t xml:space="preserve">ACH-0930 Lakeshore Foods ACH on statement</t>
  </si>
  <si>
    <t xml:space="preserve">Unrecorded receipt</t>
  </si>
  <si>
    <t xml:space="preserve">FEE-0930 Monthly account fee</t>
  </si>
  <si>
    <t xml:space="preserve">Bank fee not booked</t>
  </si>
  <si>
    <t xml:space="preserve">Amounts are entered as positive numbers. The type decides which side of the reconciliation each item belongs to.</t>
  </si>
  <si>
    <t xml:space="preserve">Answer key</t>
  </si>
  <si>
    <t xml:space="preserve">Open last, after you have tried the tasks. Click the plus buttons in the left margin to reveal each answer.</t>
  </si>
  <si>
    <t xml:space="preserve">Issue</t>
  </si>
  <si>
    <t xml:space="preserve">Difficulty</t>
  </si>
  <si>
    <t xml:space="preserve">Duplicate vendor invoice</t>
  </si>
  <si>
    <t xml:space="preserve">Medium</t>
  </si>
  <si>
    <t xml:space="preserve">What it is: Northgate Contractors invoice NC-1156 for 18,000 appears twice, the second time as NC1156 with a later posted date. Both are open and both are coded to contractor costs (5100).</t>
  </si>
  <si>
    <t xml:space="preserve">Correct fix: Reverse the duplicate: debit accounts payable (2000) 18,000, credit contractor costs (5100) 18,000, and make sure the second invoice is not paid.</t>
  </si>
  <si>
    <t xml:space="preserve">Missing month end accrual</t>
  </si>
  <si>
    <t xml:space="preserve">Easy</t>
  </si>
  <si>
    <t xml:space="preserve">What it is: The audit fee accrual of 2,000 was booked in August but not in September. Professional fees are understated by 2,000.</t>
  </si>
  <si>
    <t xml:space="preserve">Correct fix: Book the accrual: debit professional fees (6300) 2,000, credit accrued expenses (2100) 2,000.</t>
  </si>
  <si>
    <t xml:space="preserve">Misclassified expense</t>
  </si>
  <si>
    <t xml:space="preserve">What it is: Keystone Analytics invoice KA-0931 for 9,000 is subcontract delivery support for an Implementation project but is coded to Marketing (6200). This inflates marketing and understates cost of services.</t>
  </si>
  <si>
    <t xml:space="preserve">Correct fix: Reclassify: debit contractor costs (5100) 9,000, credit marketing (6200) 9,000.</t>
  </si>
  <si>
    <t xml:space="preserve">Large but genuine movement</t>
  </si>
  <si>
    <t xml:space="preserve">Hard</t>
  </si>
  <si>
    <t xml:space="preserve">What it is: Travel and meals (6400) rose by 12,200 against August. The cause is real: invoices LC-7742 (9,000) and SH-60390 (3,200) relate to the annual client summit held in September.</t>
  </si>
  <si>
    <t xml:space="preserve">Correct fix: No entry. A good answer explains the movement from the invoice descriptions and does not call it an error. Calling it an error is a false alarm.</t>
  </si>
  <si>
    <t xml:space="preserve">Stale receivable</t>
  </si>
  <si>
    <t xml:space="preserve">What it is: Invoice INV-2026-0195 for 31,900 (Tidewater Energy Services) is 125 days past due and the client has made no payment since March 2026. The allowance of 12,000 does not specifically cover it.</t>
  </si>
  <si>
    <t xml:space="preserve">Correct fix: Raise the allowance: debit bad debt expense (6700), credit allowance for doubtful accounts (1150). The amount is a judgment. Providing for the full 31,900 is the cautious answer, and any partial provision needs a reason.</t>
  </si>
  <si>
    <t xml:space="preserve">Unbilled work not recognized</t>
  </si>
  <si>
    <t xml:space="preserve">What it is: Advisory strategy review: 84 hours at 150 is worth 12,600, but only 7,500 is carried in account 1200. Revenue and WIP are understated by 5,100.</t>
  </si>
  <si>
    <t xml:space="preserve">Correct fix: Recognize the work: debit unbilled revenue (1200) 5,100, credit advisory fees (4000) 5,100.</t>
  </si>
  <si>
    <t xml:space="preserve">Prepaid amortization error</t>
  </si>
  <si>
    <t xml:space="preserve">What it is: The annual software licence has a schedule balance of 14,400 after 4 months, but the ledger shows 16,200. September amortization of 1,800 was never posted.</t>
  </si>
  <si>
    <t xml:space="preserve">Correct fix: Post the missing amortization: debit software subscriptions (6100) 1,800, credit prepaid expenses (1300) 1,800.</t>
  </si>
  <si>
    <t xml:space="preserve">Scorecard</t>
  </si>
  <si>
    <t xml:space="preserve">Give 0 for missed, 1 for partly found, 2 for found with the right fix. Count false alarms separately.</t>
  </si>
  <si>
    <t xml:space="preserve">ChatGPT (0 to 2)</t>
  </si>
  <si>
    <t xml:space="preserve">Claude (0 to 2)</t>
  </si>
  <si>
    <t xml:space="preserve">False alarms</t>
  </si>
  <si>
    <t xml:space="preserve">Score out of 14</t>
  </si>
  <si>
    <t xml:space="preserve">Model name and version</t>
  </si>
  <si>
    <t xml:space="preserve">Test date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</si>
</sst>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%;\(0.0%\);\-"/>
    <numFmt numFmtId="167" formatCode="#,##0;\(#,##0\);\-"/>
    <numFmt numFmtId="168" formatCode="dd\ mmm\ yyyy"/>
    <numFmt numFmtId="169" formatCode="#,##0.0;\(#,##0.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99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</font>
    </dxf>
    <dxf>
      <font>
        <name val="Arial"/>
        <charset val="1"/>
        <family val="0"/>
        <color rgb="FF006100"/>
      </font>
    </dxf>
    <dxf>
      <font>
        <name val="Arial"/>
        <charset val="1"/>
        <family val="0"/>
        <color rgb="FF9C0006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C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58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5" t="n">
        <v>21</v>
      </c>
    </row>
    <row r="7" customFormat="false" ht="15" hidden="false" customHeight="false" outlineLevel="0" collapsed="false">
      <c r="A7" s="4" t="s">
        <v>6</v>
      </c>
      <c r="B7" s="5" t="s">
        <v>7</v>
      </c>
    </row>
    <row r="8" customFormat="false" ht="15" hidden="false" customHeight="false" outlineLevel="0" collapsed="false">
      <c r="A8" s="4" t="s">
        <v>8</v>
      </c>
      <c r="B8" s="5" t="s">
        <v>9</v>
      </c>
    </row>
    <row r="9" customFormat="false" ht="15" hidden="false" customHeight="false" outlineLevel="0" collapsed="false">
      <c r="A9" s="4" t="s">
        <v>10</v>
      </c>
      <c r="B9" s="5" t="s">
        <v>11</v>
      </c>
    </row>
    <row r="11" customFormat="false" ht="15" hidden="false" customHeight="false" outlineLevel="0" collapsed="false">
      <c r="A11" s="3" t="s">
        <v>12</v>
      </c>
    </row>
    <row r="12" customFormat="false" ht="30" hidden="false" customHeight="true" outlineLevel="0" collapsed="false">
      <c r="A12" s="6" t="s">
        <v>13</v>
      </c>
      <c r="B12" s="6" t="s">
        <v>14</v>
      </c>
      <c r="C12" s="6" t="s">
        <v>15</v>
      </c>
    </row>
    <row r="13" customFormat="false" ht="15" hidden="false" customHeight="false" outlineLevel="0" collapsed="false">
      <c r="A13" s="7" t="n">
        <v>1</v>
      </c>
      <c r="B13" s="3" t="s">
        <v>16</v>
      </c>
      <c r="C13" s="4" t="s">
        <v>17</v>
      </c>
    </row>
    <row r="14" customFormat="false" ht="15" hidden="false" customHeight="false" outlineLevel="0" collapsed="false">
      <c r="A14" s="7" t="n">
        <v>2</v>
      </c>
      <c r="B14" s="3" t="s">
        <v>18</v>
      </c>
      <c r="C14" s="4" t="s">
        <v>19</v>
      </c>
    </row>
    <row r="15" customFormat="false" ht="15" hidden="false" customHeight="false" outlineLevel="0" collapsed="false">
      <c r="A15" s="7" t="n">
        <v>3</v>
      </c>
      <c r="B15" s="3" t="s">
        <v>20</v>
      </c>
      <c r="C15" s="4" t="s">
        <v>21</v>
      </c>
    </row>
    <row r="16" customFormat="false" ht="15" hidden="false" customHeight="false" outlineLevel="0" collapsed="false">
      <c r="A16" s="7" t="n">
        <v>4</v>
      </c>
      <c r="B16" s="3" t="s">
        <v>22</v>
      </c>
      <c r="C16" s="4" t="s">
        <v>23</v>
      </c>
    </row>
    <row r="17" customFormat="false" ht="15" hidden="false" customHeight="false" outlineLevel="0" collapsed="false">
      <c r="A17" s="7" t="n">
        <v>5</v>
      </c>
      <c r="B17" s="3" t="s">
        <v>24</v>
      </c>
      <c r="C17" s="4" t="s">
        <v>25</v>
      </c>
    </row>
    <row r="18" customFormat="false" ht="15" hidden="false" customHeight="false" outlineLevel="0" collapsed="false">
      <c r="A18" s="7" t="n">
        <v>6</v>
      </c>
      <c r="B18" s="3" t="s">
        <v>26</v>
      </c>
      <c r="C18" s="4" t="s">
        <v>27</v>
      </c>
    </row>
    <row r="19" customFormat="false" ht="15" hidden="false" customHeight="false" outlineLevel="0" collapsed="false">
      <c r="A19" s="7" t="n">
        <v>7</v>
      </c>
      <c r="B19" s="3" t="s">
        <v>28</v>
      </c>
      <c r="C19" s="4" t="s">
        <v>29</v>
      </c>
    </row>
    <row r="20" customFormat="false" ht="15" hidden="false" customHeight="false" outlineLevel="0" collapsed="false">
      <c r="A20" s="7" t="n">
        <v>8</v>
      </c>
      <c r="B20" s="3" t="s">
        <v>30</v>
      </c>
      <c r="C20" s="4" t="s">
        <v>31</v>
      </c>
    </row>
    <row r="21" customFormat="false" ht="15" hidden="false" customHeight="false" outlineLevel="0" collapsed="false">
      <c r="A21" s="7" t="n">
        <v>9</v>
      </c>
      <c r="B21" s="3" t="s">
        <v>32</v>
      </c>
      <c r="C21" s="4" t="s">
        <v>33</v>
      </c>
    </row>
    <row r="22" customFormat="false" ht="15" hidden="false" customHeight="false" outlineLevel="0" collapsed="false">
      <c r="A22" s="7" t="n">
        <v>10</v>
      </c>
      <c r="B22" s="3" t="s">
        <v>34</v>
      </c>
      <c r="C22" s="4" t="s">
        <v>35</v>
      </c>
    </row>
    <row r="23" customFormat="false" ht="15" hidden="false" customHeight="false" outlineLevel="0" collapsed="false">
      <c r="A23" s="7" t="n">
        <v>11</v>
      </c>
      <c r="B23" s="3" t="s">
        <v>36</v>
      </c>
      <c r="C23" s="4" t="s">
        <v>37</v>
      </c>
    </row>
    <row r="25" customFormat="false" ht="15" hidden="false" customHeight="false" outlineLevel="0" collapsed="false">
      <c r="A25" s="3" t="s">
        <v>38</v>
      </c>
    </row>
    <row r="26" customFormat="false" ht="15" hidden="false" customHeight="false" outlineLevel="0" collapsed="false">
      <c r="A26" s="4" t="s">
        <v>39</v>
      </c>
    </row>
    <row r="27" customFormat="false" ht="15" hidden="false" customHeight="false" outlineLevel="0" collapsed="false">
      <c r="A27" s="4" t="s">
        <v>40</v>
      </c>
    </row>
    <row r="28" customFormat="false" ht="15" hidden="false" customHeight="false" outlineLevel="0" collapsed="false">
      <c r="A28" s="4" t="s">
        <v>41</v>
      </c>
    </row>
    <row r="30" customFormat="false" ht="15" hidden="false" customHeight="false" outlineLevel="0" collapsed="false">
      <c r="A30" s="3" t="s">
        <v>42</v>
      </c>
    </row>
    <row r="31" customFormat="false" ht="15" hidden="false" customHeight="false" outlineLevel="0" collapsed="false">
      <c r="A31" s="4" t="s">
        <v>43</v>
      </c>
    </row>
    <row r="32" customFormat="false" ht="15" hidden="false" customHeight="false" outlineLevel="0" collapsed="false">
      <c r="A32" s="4" t="s">
        <v>44</v>
      </c>
    </row>
    <row r="33" customFormat="false" ht="15" hidden="false" customHeight="false" outlineLevel="0" collapsed="false">
      <c r="A33" s="4" t="s">
        <v>45</v>
      </c>
    </row>
    <row r="35" customFormat="false" ht="15" hidden="false" customHeight="false" outlineLevel="0" collapsed="false">
      <c r="A35" s="3" t="s">
        <v>46</v>
      </c>
    </row>
    <row r="36" customFormat="false" ht="30" hidden="false" customHeight="true" outlineLevel="0" collapsed="false">
      <c r="A36" s="6" t="s">
        <v>13</v>
      </c>
      <c r="B36" s="6" t="s">
        <v>47</v>
      </c>
      <c r="C36" s="6" t="s">
        <v>48</v>
      </c>
    </row>
    <row r="37" customFormat="false" ht="15" hidden="false" customHeight="false" outlineLevel="0" collapsed="false">
      <c r="A37" s="7" t="n">
        <v>1</v>
      </c>
      <c r="B37" s="4" t="s">
        <v>49</v>
      </c>
      <c r="C37" s="8" t="str">
        <f aca="false">IF('Trial Balance'!B41="Balanced","OK","Check")</f>
        <v>OK</v>
      </c>
    </row>
    <row r="38" customFormat="false" ht="15" hidden="false" customHeight="false" outlineLevel="0" collapsed="false">
      <c r="A38" s="7" t="n">
        <v>2</v>
      </c>
      <c r="B38" s="4" t="s">
        <v>50</v>
      </c>
      <c r="C38" s="8" t="str">
        <f aca="false">'AR Aging and WIP'!J28</f>
        <v>OK</v>
      </c>
    </row>
    <row r="39" customFormat="false" ht="15" hidden="false" customHeight="false" outlineLevel="0" collapsed="false">
      <c r="A39" s="7" t="n">
        <v>3</v>
      </c>
      <c r="B39" s="4" t="s">
        <v>51</v>
      </c>
      <c r="C39" s="8" t="str">
        <f aca="false">'AR Aging and WIP'!H39</f>
        <v>OK</v>
      </c>
    </row>
    <row r="40" customFormat="false" ht="15" hidden="false" customHeight="false" outlineLevel="0" collapsed="false">
      <c r="A40" s="7" t="n">
        <v>4</v>
      </c>
      <c r="B40" s="4" t="s">
        <v>52</v>
      </c>
      <c r="C40" s="8" t="str">
        <f aca="false">'Accruals and Prepaids'!I22</f>
        <v>OK</v>
      </c>
    </row>
    <row r="41" customFormat="false" ht="15" hidden="false" customHeight="false" outlineLevel="0" collapsed="false">
      <c r="A41" s="7" t="n">
        <v>5</v>
      </c>
      <c r="B41" s="4" t="s">
        <v>53</v>
      </c>
      <c r="C41" s="8" t="str">
        <f aca="false">'Accruals and Prepaids'!G13</f>
        <v>OK</v>
      </c>
    </row>
    <row r="42" customFormat="false" ht="15" hidden="false" customHeight="false" outlineLevel="0" collapsed="false">
      <c r="A42" s="7" t="n">
        <v>6</v>
      </c>
      <c r="B42" s="4" t="s">
        <v>54</v>
      </c>
      <c r="C42" s="8" t="str">
        <f aca="false">'AP and Vendor Invoices'!H27</f>
        <v>OK</v>
      </c>
    </row>
    <row r="43" customFormat="false" ht="15" hidden="false" customHeight="false" outlineLevel="0" collapsed="false">
      <c r="A43" s="7" t="n">
        <v>7</v>
      </c>
      <c r="B43" s="4" t="s">
        <v>55</v>
      </c>
      <c r="C43" s="8" t="str">
        <f aca="false">IF('Bank Rec Items'!C13="Reconciled","OK","Check")</f>
        <v>OK</v>
      </c>
    </row>
    <row r="44" customFormat="false" ht="15" hidden="false" customHeight="false" outlineLevel="0" collapsed="false">
      <c r="A44" s="7" t="n">
        <v>8</v>
      </c>
      <c r="B44" s="4" t="s">
        <v>56</v>
      </c>
      <c r="C44" s="8" t="str">
        <f aca="false">'Payroll and Utilization'!I12</f>
        <v>OK</v>
      </c>
    </row>
    <row r="45" customFormat="false" ht="15" hidden="false" customHeight="false" outlineLevel="0" collapsed="false">
      <c r="A45" s="7" t="n">
        <v>9</v>
      </c>
      <c r="B45" s="4" t="s">
        <v>57</v>
      </c>
      <c r="C45" s="8" t="str">
        <f aca="false">IF(ROUND('12 Month P&amp;L'!N30+SUMIF('Trial Balance'!$C$9:$C$39,"P&amp;L",'Trial Balance'!$D$9:$D$39),0)=0,"OK","Check")</f>
        <v>OK</v>
      </c>
    </row>
    <row r="47" customFormat="false" ht="15" hidden="false" customHeight="false" outlineLevel="0" collapsed="false">
      <c r="A47" s="3" t="s">
        <v>58</v>
      </c>
    </row>
    <row r="48" customFormat="false" ht="15" hidden="false" customHeight="false" outlineLevel="0" collapsed="false">
      <c r="A48" s="9" t="s">
        <v>59</v>
      </c>
    </row>
    <row r="49" customFormat="false" ht="15" hidden="false" customHeight="false" outlineLevel="0" collapsed="false">
      <c r="A49" s="4" t="s">
        <v>60</v>
      </c>
    </row>
    <row r="50" customFormat="false" ht="15" hidden="false" customHeight="false" outlineLevel="0" collapsed="false">
      <c r="A50" s="10" t="s">
        <v>61</v>
      </c>
    </row>
    <row r="51" customFormat="false" ht="15" hidden="false" customHeight="false" outlineLevel="0" collapsed="false">
      <c r="A51" s="11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30" hidden="false" customHeight="true" outlineLevel="0" collapsed="false">
      <c r="A4" s="6" t="s">
        <v>13</v>
      </c>
      <c r="B4" s="6" t="s">
        <v>65</v>
      </c>
      <c r="C4" s="6" t="s">
        <v>66</v>
      </c>
      <c r="D4" s="6" t="s">
        <v>67</v>
      </c>
      <c r="E4" s="6" t="s">
        <v>68</v>
      </c>
    </row>
    <row r="5" customFormat="false" ht="15" hidden="false" customHeight="false" outlineLevel="0" collapsed="false">
      <c r="A5" s="9" t="n">
        <v>1000</v>
      </c>
      <c r="B5" s="9" t="s">
        <v>69</v>
      </c>
      <c r="C5" s="9" t="s">
        <v>70</v>
      </c>
      <c r="D5" s="12" t="s">
        <v>71</v>
      </c>
      <c r="E5" s="9" t="s">
        <v>72</v>
      </c>
    </row>
    <row r="6" customFormat="false" ht="15" hidden="false" customHeight="false" outlineLevel="0" collapsed="false">
      <c r="A6" s="9" t="n">
        <v>1100</v>
      </c>
      <c r="B6" s="9" t="s">
        <v>73</v>
      </c>
      <c r="C6" s="9" t="s">
        <v>70</v>
      </c>
      <c r="D6" s="12" t="s">
        <v>71</v>
      </c>
      <c r="E6" s="9" t="s">
        <v>74</v>
      </c>
    </row>
    <row r="7" customFormat="false" ht="15" hidden="false" customHeight="false" outlineLevel="0" collapsed="false">
      <c r="A7" s="9" t="n">
        <v>1150</v>
      </c>
      <c r="B7" s="9" t="s">
        <v>75</v>
      </c>
      <c r="C7" s="9" t="s">
        <v>70</v>
      </c>
      <c r="D7" s="12" t="s">
        <v>76</v>
      </c>
      <c r="E7" s="9" t="s">
        <v>74</v>
      </c>
    </row>
    <row r="8" customFormat="false" ht="15" hidden="false" customHeight="false" outlineLevel="0" collapsed="false">
      <c r="A8" s="9" t="n">
        <v>1200</v>
      </c>
      <c r="B8" s="9" t="s">
        <v>77</v>
      </c>
      <c r="C8" s="9" t="s">
        <v>70</v>
      </c>
      <c r="D8" s="12" t="s">
        <v>71</v>
      </c>
      <c r="E8" s="9" t="s">
        <v>78</v>
      </c>
    </row>
    <row r="9" customFormat="false" ht="15" hidden="false" customHeight="false" outlineLevel="0" collapsed="false">
      <c r="A9" s="9" t="n">
        <v>1300</v>
      </c>
      <c r="B9" s="9" t="s">
        <v>79</v>
      </c>
      <c r="C9" s="9" t="s">
        <v>70</v>
      </c>
      <c r="D9" s="12" t="s">
        <v>71</v>
      </c>
      <c r="E9" s="9" t="s">
        <v>80</v>
      </c>
    </row>
    <row r="10" customFormat="false" ht="15" hidden="false" customHeight="false" outlineLevel="0" collapsed="false">
      <c r="A10" s="9" t="n">
        <v>1500</v>
      </c>
      <c r="B10" s="9" t="s">
        <v>81</v>
      </c>
      <c r="C10" s="9" t="s">
        <v>70</v>
      </c>
      <c r="D10" s="12" t="s">
        <v>71</v>
      </c>
      <c r="E10" s="9" t="s">
        <v>82</v>
      </c>
    </row>
    <row r="11" customFormat="false" ht="15" hidden="false" customHeight="false" outlineLevel="0" collapsed="false">
      <c r="A11" s="9" t="n">
        <v>1550</v>
      </c>
      <c r="B11" s="9" t="s">
        <v>83</v>
      </c>
      <c r="C11" s="9" t="s">
        <v>70</v>
      </c>
      <c r="D11" s="12" t="s">
        <v>76</v>
      </c>
      <c r="E11" s="9" t="s">
        <v>82</v>
      </c>
    </row>
    <row r="12" customFormat="false" ht="15" hidden="false" customHeight="false" outlineLevel="0" collapsed="false">
      <c r="A12" s="13" t="n">
        <v>2000</v>
      </c>
      <c r="B12" s="13" t="s">
        <v>84</v>
      </c>
      <c r="C12" s="13" t="s">
        <v>85</v>
      </c>
      <c r="D12" s="14" t="s">
        <v>76</v>
      </c>
      <c r="E12" s="13" t="s">
        <v>86</v>
      </c>
    </row>
    <row r="13" customFormat="false" ht="15" hidden="false" customHeight="false" outlineLevel="0" collapsed="false">
      <c r="A13" s="9" t="n">
        <v>2100</v>
      </c>
      <c r="B13" s="9" t="s">
        <v>87</v>
      </c>
      <c r="C13" s="9" t="s">
        <v>85</v>
      </c>
      <c r="D13" s="12" t="s">
        <v>76</v>
      </c>
      <c r="E13" s="9" t="s">
        <v>80</v>
      </c>
    </row>
    <row r="14" customFormat="false" ht="15" hidden="false" customHeight="false" outlineLevel="0" collapsed="false">
      <c r="A14" s="9" t="n">
        <v>2150</v>
      </c>
      <c r="B14" s="9" t="s">
        <v>88</v>
      </c>
      <c r="C14" s="9" t="s">
        <v>85</v>
      </c>
      <c r="D14" s="12" t="s">
        <v>76</v>
      </c>
      <c r="E14" s="9" t="s">
        <v>89</v>
      </c>
    </row>
    <row r="15" customFormat="false" ht="15" hidden="false" customHeight="false" outlineLevel="0" collapsed="false">
      <c r="A15" s="9" t="n">
        <v>2200</v>
      </c>
      <c r="B15" s="9" t="s">
        <v>90</v>
      </c>
      <c r="C15" s="9" t="s">
        <v>85</v>
      </c>
      <c r="D15" s="12" t="s">
        <v>76</v>
      </c>
      <c r="E15" s="9" t="s">
        <v>74</v>
      </c>
    </row>
    <row r="16" customFormat="false" ht="15" hidden="false" customHeight="false" outlineLevel="0" collapsed="false">
      <c r="A16" s="9" t="n">
        <v>2250</v>
      </c>
      <c r="B16" s="9" t="s">
        <v>91</v>
      </c>
      <c r="C16" s="9" t="s">
        <v>85</v>
      </c>
      <c r="D16" s="12" t="s">
        <v>76</v>
      </c>
      <c r="E16" s="9" t="s">
        <v>92</v>
      </c>
    </row>
    <row r="17" customFormat="false" ht="15" hidden="false" customHeight="false" outlineLevel="0" collapsed="false">
      <c r="A17" s="9" t="n">
        <v>2500</v>
      </c>
      <c r="B17" s="9" t="s">
        <v>93</v>
      </c>
      <c r="C17" s="9" t="s">
        <v>85</v>
      </c>
      <c r="D17" s="12" t="s">
        <v>76</v>
      </c>
      <c r="E17" s="9" t="s">
        <v>82</v>
      </c>
    </row>
    <row r="18" customFormat="false" ht="15" hidden="false" customHeight="false" outlineLevel="0" collapsed="false">
      <c r="A18" s="13" t="n">
        <v>3000</v>
      </c>
      <c r="B18" s="13" t="s">
        <v>94</v>
      </c>
      <c r="C18" s="13" t="s">
        <v>95</v>
      </c>
      <c r="D18" s="14" t="s">
        <v>76</v>
      </c>
      <c r="E18" s="13" t="s">
        <v>82</v>
      </c>
    </row>
    <row r="19" customFormat="false" ht="15" hidden="false" customHeight="false" outlineLevel="0" collapsed="false">
      <c r="A19" s="9" t="n">
        <v>3100</v>
      </c>
      <c r="B19" s="9" t="s">
        <v>96</v>
      </c>
      <c r="C19" s="9" t="s">
        <v>95</v>
      </c>
      <c r="D19" s="12" t="s">
        <v>76</v>
      </c>
      <c r="E19" s="9" t="s">
        <v>82</v>
      </c>
    </row>
    <row r="20" customFormat="false" ht="15" hidden="false" customHeight="false" outlineLevel="0" collapsed="false">
      <c r="A20" s="13" t="n">
        <v>4000</v>
      </c>
      <c r="B20" s="13" t="s">
        <v>97</v>
      </c>
      <c r="C20" s="13" t="s">
        <v>98</v>
      </c>
      <c r="D20" s="14" t="s">
        <v>76</v>
      </c>
      <c r="E20" s="13" t="s">
        <v>99</v>
      </c>
    </row>
    <row r="21" customFormat="false" ht="15" hidden="false" customHeight="false" outlineLevel="0" collapsed="false">
      <c r="A21" s="9" t="n">
        <v>4100</v>
      </c>
      <c r="B21" s="9" t="s">
        <v>100</v>
      </c>
      <c r="C21" s="9" t="s">
        <v>98</v>
      </c>
      <c r="D21" s="12" t="s">
        <v>76</v>
      </c>
      <c r="E21" s="9" t="s">
        <v>99</v>
      </c>
    </row>
    <row r="22" customFormat="false" ht="15" hidden="false" customHeight="false" outlineLevel="0" collapsed="false">
      <c r="A22" s="9" t="n">
        <v>4200</v>
      </c>
      <c r="B22" s="9" t="s">
        <v>101</v>
      </c>
      <c r="C22" s="9" t="s">
        <v>98</v>
      </c>
      <c r="D22" s="12" t="s">
        <v>76</v>
      </c>
      <c r="E22" s="9" t="s">
        <v>99</v>
      </c>
    </row>
    <row r="23" customFormat="false" ht="15" hidden="false" customHeight="false" outlineLevel="0" collapsed="false">
      <c r="A23" s="9" t="n">
        <v>4300</v>
      </c>
      <c r="B23" s="9" t="s">
        <v>102</v>
      </c>
      <c r="C23" s="9" t="s">
        <v>98</v>
      </c>
      <c r="D23" s="12" t="s">
        <v>76</v>
      </c>
      <c r="E23" s="9" t="s">
        <v>99</v>
      </c>
    </row>
    <row r="24" customFormat="false" ht="15" hidden="false" customHeight="false" outlineLevel="0" collapsed="false">
      <c r="A24" s="13" t="n">
        <v>5000</v>
      </c>
      <c r="B24" s="13" t="s">
        <v>103</v>
      </c>
      <c r="C24" s="13" t="s">
        <v>104</v>
      </c>
      <c r="D24" s="14" t="s">
        <v>71</v>
      </c>
      <c r="E24" s="13" t="s">
        <v>105</v>
      </c>
    </row>
    <row r="25" customFormat="false" ht="15" hidden="false" customHeight="false" outlineLevel="0" collapsed="false">
      <c r="A25" s="9" t="n">
        <v>5100</v>
      </c>
      <c r="B25" s="9" t="s">
        <v>106</v>
      </c>
      <c r="C25" s="9" t="s">
        <v>104</v>
      </c>
      <c r="D25" s="12" t="s">
        <v>71</v>
      </c>
      <c r="E25" s="9" t="s">
        <v>107</v>
      </c>
    </row>
    <row r="26" customFormat="false" ht="15" hidden="false" customHeight="false" outlineLevel="0" collapsed="false">
      <c r="A26" s="9" t="n">
        <v>5200</v>
      </c>
      <c r="B26" s="9" t="s">
        <v>108</v>
      </c>
      <c r="C26" s="9" t="s">
        <v>104</v>
      </c>
      <c r="D26" s="12" t="s">
        <v>71</v>
      </c>
      <c r="E26" s="9" t="s">
        <v>107</v>
      </c>
    </row>
    <row r="27" customFormat="false" ht="15" hidden="false" customHeight="false" outlineLevel="0" collapsed="false">
      <c r="A27" s="13" t="n">
        <v>6000</v>
      </c>
      <c r="B27" s="13" t="s">
        <v>109</v>
      </c>
      <c r="C27" s="13" t="s">
        <v>110</v>
      </c>
      <c r="D27" s="14" t="s">
        <v>71</v>
      </c>
      <c r="E27" s="13" t="s">
        <v>99</v>
      </c>
    </row>
    <row r="28" customFormat="false" ht="15" hidden="false" customHeight="false" outlineLevel="0" collapsed="false">
      <c r="A28" s="9" t="n">
        <v>6100</v>
      </c>
      <c r="B28" s="9" t="s">
        <v>111</v>
      </c>
      <c r="C28" s="9" t="s">
        <v>110</v>
      </c>
      <c r="D28" s="12" t="s">
        <v>71</v>
      </c>
      <c r="E28" s="9" t="s">
        <v>107</v>
      </c>
    </row>
    <row r="29" customFormat="false" ht="15" hidden="false" customHeight="false" outlineLevel="0" collapsed="false">
      <c r="A29" s="9" t="n">
        <v>6200</v>
      </c>
      <c r="B29" s="9" t="s">
        <v>112</v>
      </c>
      <c r="C29" s="9" t="s">
        <v>110</v>
      </c>
      <c r="D29" s="12" t="s">
        <v>71</v>
      </c>
      <c r="E29" s="9" t="s">
        <v>99</v>
      </c>
    </row>
    <row r="30" customFormat="false" ht="15" hidden="false" customHeight="false" outlineLevel="0" collapsed="false">
      <c r="A30" s="9" t="n">
        <v>6300</v>
      </c>
      <c r="B30" s="9" t="s">
        <v>113</v>
      </c>
      <c r="C30" s="9" t="s">
        <v>110</v>
      </c>
      <c r="D30" s="12" t="s">
        <v>71</v>
      </c>
      <c r="E30" s="9" t="s">
        <v>107</v>
      </c>
    </row>
    <row r="31" customFormat="false" ht="15" hidden="false" customHeight="false" outlineLevel="0" collapsed="false">
      <c r="A31" s="9" t="n">
        <v>6400</v>
      </c>
      <c r="B31" s="9" t="s">
        <v>114</v>
      </c>
      <c r="C31" s="9" t="s">
        <v>110</v>
      </c>
      <c r="D31" s="12" t="s">
        <v>71</v>
      </c>
      <c r="E31" s="9" t="s">
        <v>99</v>
      </c>
    </row>
    <row r="32" customFormat="false" ht="15" hidden="false" customHeight="false" outlineLevel="0" collapsed="false">
      <c r="A32" s="9" t="n">
        <v>6500</v>
      </c>
      <c r="B32" s="9" t="s">
        <v>115</v>
      </c>
      <c r="C32" s="9" t="s">
        <v>110</v>
      </c>
      <c r="D32" s="12" t="s">
        <v>71</v>
      </c>
      <c r="E32" s="9" t="s">
        <v>116</v>
      </c>
    </row>
    <row r="33" customFormat="false" ht="15" hidden="false" customHeight="false" outlineLevel="0" collapsed="false">
      <c r="A33" s="9" t="n">
        <v>6600</v>
      </c>
      <c r="B33" s="9" t="s">
        <v>117</v>
      </c>
      <c r="C33" s="9" t="s">
        <v>110</v>
      </c>
      <c r="D33" s="12" t="s">
        <v>71</v>
      </c>
      <c r="E33" s="9" t="s">
        <v>118</v>
      </c>
    </row>
    <row r="34" customFormat="false" ht="15" hidden="false" customHeight="false" outlineLevel="0" collapsed="false">
      <c r="A34" s="9" t="n">
        <v>6700</v>
      </c>
      <c r="B34" s="9" t="s">
        <v>119</v>
      </c>
      <c r="C34" s="9" t="s">
        <v>110</v>
      </c>
      <c r="D34" s="12" t="s">
        <v>71</v>
      </c>
      <c r="E34" s="9" t="s">
        <v>120</v>
      </c>
    </row>
    <row r="35" customFormat="false" ht="15" hidden="false" customHeight="false" outlineLevel="0" collapsed="false">
      <c r="A35" s="13" t="n">
        <v>7000</v>
      </c>
      <c r="B35" s="13" t="s">
        <v>121</v>
      </c>
      <c r="C35" s="13" t="s">
        <v>122</v>
      </c>
      <c r="D35" s="14" t="s">
        <v>71</v>
      </c>
      <c r="E35" s="13" t="s">
        <v>118</v>
      </c>
    </row>
    <row r="37" customFormat="false" ht="15" hidden="false" customHeight="false" outlineLevel="0" collapsed="false">
      <c r="A37" s="2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6" min="3" style="0" width="14"/>
    <col collapsed="false" customWidth="true" hidden="false" outlineLevel="0" max="8" min="7" style="0" width="15"/>
    <col collapsed="false" customWidth="true" hidden="false" outlineLevel="0" max="9" min="9" style="0" width="16"/>
    <col collapsed="false" customWidth="true" hidden="false" outlineLevel="0" max="10" min="10" style="0" width="11"/>
  </cols>
  <sheetData>
    <row r="1" customFormat="false" ht="17.35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125</v>
      </c>
    </row>
    <row r="3" customFormat="false" ht="15" hidden="false" customHeight="false" outlineLevel="0" collapsed="false">
      <c r="A3" s="2" t="s">
        <v>126</v>
      </c>
    </row>
    <row r="5" customFormat="false" ht="15" hidden="false" customHeight="false" outlineLevel="0" collapsed="false">
      <c r="B5" s="4" t="s">
        <v>127</v>
      </c>
      <c r="C5" s="15" t="n">
        <v>0.1</v>
      </c>
    </row>
    <row r="6" customFormat="false" ht="15" hidden="false" customHeight="false" outlineLevel="0" collapsed="false">
      <c r="B6" s="4" t="s">
        <v>128</v>
      </c>
      <c r="C6" s="16" t="n">
        <v>10000</v>
      </c>
    </row>
    <row r="8" customFormat="false" ht="30" hidden="false" customHeight="true" outlineLevel="0" collapsed="false">
      <c r="A8" s="6" t="s">
        <v>13</v>
      </c>
      <c r="B8" s="6" t="s">
        <v>129</v>
      </c>
      <c r="C8" s="6" t="s">
        <v>130</v>
      </c>
      <c r="D8" s="6" t="s">
        <v>131</v>
      </c>
      <c r="E8" s="6" t="s">
        <v>132</v>
      </c>
      <c r="F8" s="6" t="s">
        <v>133</v>
      </c>
      <c r="G8" s="6" t="s">
        <v>134</v>
      </c>
      <c r="H8" s="6" t="s">
        <v>135</v>
      </c>
      <c r="I8" s="6" t="s">
        <v>136</v>
      </c>
      <c r="J8" s="6" t="s">
        <v>137</v>
      </c>
    </row>
    <row r="9" customFormat="false" ht="15" hidden="false" customHeight="false" outlineLevel="0" collapsed="false">
      <c r="A9" s="9" t="n">
        <v>1000</v>
      </c>
      <c r="B9" s="9" t="s">
        <v>69</v>
      </c>
      <c r="C9" s="9" t="s">
        <v>138</v>
      </c>
      <c r="D9" s="17" t="n">
        <v>412300</v>
      </c>
      <c r="E9" s="17" t="n">
        <v>366020</v>
      </c>
      <c r="F9" s="17" t="n">
        <v>385000</v>
      </c>
      <c r="G9" s="18" t="n">
        <f aca="false">D9-E9</f>
        <v>46280</v>
      </c>
      <c r="H9" s="19" t="n">
        <f aca="false">IF(E9=0,0,G9/ABS(E9))</f>
        <v>0.126441178077701</v>
      </c>
      <c r="I9" s="19" t="n">
        <f aca="false">IF(F9=0,0,(D9-F9)/ABS(F9))</f>
        <v>0.0709090909090909</v>
      </c>
      <c r="J9" s="20" t="str">
        <f aca="false">IF(AND(ABS(G9)&gt;=$C$6,ABS(H9)&gt;=$C$5,$A9&lt;&gt;3100),"Review","")</f>
        <v>Review</v>
      </c>
    </row>
    <row r="10" customFormat="false" ht="15" hidden="false" customHeight="false" outlineLevel="0" collapsed="false">
      <c r="A10" s="9" t="n">
        <v>1100</v>
      </c>
      <c r="B10" s="9" t="s">
        <v>73</v>
      </c>
      <c r="C10" s="9" t="s">
        <v>138</v>
      </c>
      <c r="D10" s="17" t="n">
        <v>409200</v>
      </c>
      <c r="E10" s="17" t="n">
        <v>372000</v>
      </c>
      <c r="F10" s="17" t="n">
        <v>318000</v>
      </c>
      <c r="G10" s="18" t="n">
        <f aca="false">D10-E10</f>
        <v>37200</v>
      </c>
      <c r="H10" s="19" t="n">
        <f aca="false">IF(E10=0,0,G10/ABS(E10))</f>
        <v>0.1</v>
      </c>
      <c r="I10" s="19" t="n">
        <f aca="false">IF(F10=0,0,(D10-F10)/ABS(F10))</f>
        <v>0.286792452830189</v>
      </c>
      <c r="J10" s="20" t="str">
        <f aca="false">IF(AND(ABS(G10)&gt;=$C$6,ABS(H10)&gt;=$C$5,$A10&lt;&gt;3100),"Review","")</f>
        <v>Review</v>
      </c>
    </row>
    <row r="11" customFormat="false" ht="15" hidden="false" customHeight="false" outlineLevel="0" collapsed="false">
      <c r="A11" s="9" t="n">
        <v>1150</v>
      </c>
      <c r="B11" s="9" t="s">
        <v>75</v>
      </c>
      <c r="C11" s="9" t="s">
        <v>138</v>
      </c>
      <c r="D11" s="17" t="n">
        <v>-12000</v>
      </c>
      <c r="E11" s="17" t="n">
        <v>-9000</v>
      </c>
      <c r="F11" s="17" t="n">
        <v>-6000</v>
      </c>
      <c r="G11" s="18" t="n">
        <f aca="false">D11-E11</f>
        <v>-3000</v>
      </c>
      <c r="H11" s="19" t="n">
        <f aca="false">IF(E11=0,0,G11/ABS(E11))</f>
        <v>-0.333333333333333</v>
      </c>
      <c r="I11" s="19" t="n">
        <f aca="false">IF(F11=0,0,(D11-F11)/ABS(F11))</f>
        <v>-1</v>
      </c>
      <c r="J11" s="20" t="str">
        <f aca="false">IF(AND(ABS(G11)&gt;=$C$6,ABS(H11)&gt;=$C$5,$A11&lt;&gt;3100),"Review","")</f>
        <v/>
      </c>
    </row>
    <row r="12" customFormat="false" ht="15" hidden="false" customHeight="false" outlineLevel="0" collapsed="false">
      <c r="A12" s="9" t="n">
        <v>1200</v>
      </c>
      <c r="B12" s="9" t="s">
        <v>77</v>
      </c>
      <c r="C12" s="9" t="s">
        <v>138</v>
      </c>
      <c r="D12" s="17" t="n">
        <v>85120</v>
      </c>
      <c r="E12" s="17" t="n">
        <v>79000</v>
      </c>
      <c r="F12" s="17" t="n">
        <v>68000</v>
      </c>
      <c r="G12" s="18" t="n">
        <f aca="false">D12-E12</f>
        <v>6120</v>
      </c>
      <c r="H12" s="19" t="n">
        <f aca="false">IF(E12=0,0,G12/ABS(E12))</f>
        <v>0.0774683544303798</v>
      </c>
      <c r="I12" s="19" t="n">
        <f aca="false">IF(F12=0,0,(D12-F12)/ABS(F12))</f>
        <v>0.251764705882353</v>
      </c>
      <c r="J12" s="20" t="str">
        <f aca="false">IF(AND(ABS(G12)&gt;=$C$6,ABS(H12)&gt;=$C$5,$A12&lt;&gt;3100),"Review","")</f>
        <v/>
      </c>
    </row>
    <row r="13" customFormat="false" ht="15" hidden="false" customHeight="false" outlineLevel="0" collapsed="false">
      <c r="A13" s="9" t="n">
        <v>1300</v>
      </c>
      <c r="B13" s="9" t="s">
        <v>79</v>
      </c>
      <c r="C13" s="9" t="s">
        <v>138</v>
      </c>
      <c r="D13" s="17" t="n">
        <v>28200</v>
      </c>
      <c r="E13" s="17" t="n">
        <v>23400</v>
      </c>
      <c r="F13" s="17" t="n">
        <v>18000</v>
      </c>
      <c r="G13" s="18" t="n">
        <f aca="false">D13-E13</f>
        <v>4800</v>
      </c>
      <c r="H13" s="19" t="n">
        <f aca="false">IF(E13=0,0,G13/ABS(E13))</f>
        <v>0.205128205128205</v>
      </c>
      <c r="I13" s="19" t="n">
        <f aca="false">IF(F13=0,0,(D13-F13)/ABS(F13))</f>
        <v>0.566666666666667</v>
      </c>
      <c r="J13" s="20" t="str">
        <f aca="false">IF(AND(ABS(G13)&gt;=$C$6,ABS(H13)&gt;=$C$5,$A13&lt;&gt;3100),"Review","")</f>
        <v/>
      </c>
    </row>
    <row r="14" customFormat="false" ht="15" hidden="false" customHeight="false" outlineLevel="0" collapsed="false">
      <c r="A14" s="9" t="n">
        <v>1500</v>
      </c>
      <c r="B14" s="9" t="s">
        <v>81</v>
      </c>
      <c r="C14" s="9" t="s">
        <v>138</v>
      </c>
      <c r="D14" s="17" t="n">
        <v>148000</v>
      </c>
      <c r="E14" s="17" t="n">
        <v>148000</v>
      </c>
      <c r="F14" s="17" t="n">
        <v>132000</v>
      </c>
      <c r="G14" s="18" t="n">
        <f aca="false">D14-E14</f>
        <v>0</v>
      </c>
      <c r="H14" s="19" t="n">
        <f aca="false">IF(E14=0,0,G14/ABS(E14))</f>
        <v>0</v>
      </c>
      <c r="I14" s="19" t="n">
        <f aca="false">IF(F14=0,0,(D14-F14)/ABS(F14))</f>
        <v>0.121212121212121</v>
      </c>
      <c r="J14" s="20" t="str">
        <f aca="false">IF(AND(ABS(G14)&gt;=$C$6,ABS(H14)&gt;=$C$5,$A14&lt;&gt;3100),"Review","")</f>
        <v/>
      </c>
    </row>
    <row r="15" customFormat="false" ht="15" hidden="false" customHeight="false" outlineLevel="0" collapsed="false">
      <c r="A15" s="9" t="n">
        <v>1550</v>
      </c>
      <c r="B15" s="9" t="s">
        <v>83</v>
      </c>
      <c r="C15" s="9" t="s">
        <v>138</v>
      </c>
      <c r="D15" s="17" t="n">
        <v>-62000</v>
      </c>
      <c r="E15" s="17" t="n">
        <v>-55500</v>
      </c>
      <c r="F15" s="17" t="n">
        <v>-22000</v>
      </c>
      <c r="G15" s="18" t="n">
        <f aca="false">D15-E15</f>
        <v>-6500</v>
      </c>
      <c r="H15" s="19" t="n">
        <f aca="false">IF(E15=0,0,G15/ABS(E15))</f>
        <v>-0.117117117117117</v>
      </c>
      <c r="I15" s="19" t="n">
        <f aca="false">IF(F15=0,0,(D15-F15)/ABS(F15))</f>
        <v>-1.81818181818182</v>
      </c>
      <c r="J15" s="20" t="str">
        <f aca="false">IF(AND(ABS(G15)&gt;=$C$6,ABS(H15)&gt;=$C$5,$A15&lt;&gt;3100),"Review","")</f>
        <v/>
      </c>
    </row>
    <row r="16" customFormat="false" ht="15" hidden="false" customHeight="false" outlineLevel="0" collapsed="false">
      <c r="A16" s="9" t="n">
        <v>2000</v>
      </c>
      <c r="B16" s="9" t="s">
        <v>84</v>
      </c>
      <c r="C16" s="9" t="s">
        <v>138</v>
      </c>
      <c r="D16" s="17" t="n">
        <v>-129900</v>
      </c>
      <c r="E16" s="17" t="n">
        <v>-118500</v>
      </c>
      <c r="F16" s="17" t="n">
        <v>-96000</v>
      </c>
      <c r="G16" s="18" t="n">
        <f aca="false">D16-E16</f>
        <v>-11400</v>
      </c>
      <c r="H16" s="19" t="n">
        <f aca="false">IF(E16=0,0,G16/ABS(E16))</f>
        <v>-0.0962025316455696</v>
      </c>
      <c r="I16" s="19" t="n">
        <f aca="false">IF(F16=0,0,(D16-F16)/ABS(F16))</f>
        <v>-0.353125</v>
      </c>
      <c r="J16" s="20" t="str">
        <f aca="false">IF(AND(ABS(G16)&gt;=$C$6,ABS(H16)&gt;=$C$5,$A16&lt;&gt;3100),"Review","")</f>
        <v/>
      </c>
    </row>
    <row r="17" customFormat="false" ht="15" hidden="false" customHeight="false" outlineLevel="0" collapsed="false">
      <c r="A17" s="9" t="n">
        <v>2100</v>
      </c>
      <c r="B17" s="9" t="s">
        <v>87</v>
      </c>
      <c r="C17" s="9" t="s">
        <v>138</v>
      </c>
      <c r="D17" s="17" t="n">
        <v>-25200</v>
      </c>
      <c r="E17" s="17" t="n">
        <v>-24700</v>
      </c>
      <c r="F17" s="17" t="n">
        <v>-20000</v>
      </c>
      <c r="G17" s="18" t="n">
        <f aca="false">D17-E17</f>
        <v>-500</v>
      </c>
      <c r="H17" s="19" t="n">
        <f aca="false">IF(E17=0,0,G17/ABS(E17))</f>
        <v>-0.0202429149797571</v>
      </c>
      <c r="I17" s="19" t="n">
        <f aca="false">IF(F17=0,0,(D17-F17)/ABS(F17))</f>
        <v>-0.26</v>
      </c>
      <c r="J17" s="20" t="str">
        <f aca="false">IF(AND(ABS(G17)&gt;=$C$6,ABS(H17)&gt;=$C$5,$A17&lt;&gt;3100),"Review","")</f>
        <v/>
      </c>
    </row>
    <row r="18" customFormat="false" ht="15" hidden="false" customHeight="false" outlineLevel="0" collapsed="false">
      <c r="A18" s="9" t="n">
        <v>2150</v>
      </c>
      <c r="B18" s="9" t="s">
        <v>88</v>
      </c>
      <c r="C18" s="9" t="s">
        <v>138</v>
      </c>
      <c r="D18" s="17" t="n">
        <v>-112500</v>
      </c>
      <c r="E18" s="17" t="n">
        <v>-100000</v>
      </c>
      <c r="F18" s="17" t="n">
        <v>-90000</v>
      </c>
      <c r="G18" s="18" t="n">
        <f aca="false">D18-E18</f>
        <v>-12500</v>
      </c>
      <c r="H18" s="19" t="n">
        <f aca="false">IF(E18=0,0,G18/ABS(E18))</f>
        <v>-0.125</v>
      </c>
      <c r="I18" s="19" t="n">
        <f aca="false">IF(F18=0,0,(D18-F18)/ABS(F18))</f>
        <v>-0.25</v>
      </c>
      <c r="J18" s="20" t="str">
        <f aca="false">IF(AND(ABS(G18)&gt;=$C$6,ABS(H18)&gt;=$C$5,$A18&lt;&gt;3100),"Review","")</f>
        <v>Review</v>
      </c>
    </row>
    <row r="19" customFormat="false" ht="15" hidden="false" customHeight="false" outlineLevel="0" collapsed="false">
      <c r="A19" s="9" t="n">
        <v>2200</v>
      </c>
      <c r="B19" s="9" t="s">
        <v>90</v>
      </c>
      <c r="C19" s="9" t="s">
        <v>138</v>
      </c>
      <c r="D19" s="17" t="n">
        <v>-45000</v>
      </c>
      <c r="E19" s="17" t="n">
        <v>-38000</v>
      </c>
      <c r="F19" s="17" t="n">
        <v>-30000</v>
      </c>
      <c r="G19" s="18" t="n">
        <f aca="false">D19-E19</f>
        <v>-7000</v>
      </c>
      <c r="H19" s="19" t="n">
        <f aca="false">IF(E19=0,0,G19/ABS(E19))</f>
        <v>-0.184210526315789</v>
      </c>
      <c r="I19" s="19" t="n">
        <f aca="false">IF(F19=0,0,(D19-F19)/ABS(F19))</f>
        <v>-0.5</v>
      </c>
      <c r="J19" s="20" t="str">
        <f aca="false">IF(AND(ABS(G19)&gt;=$C$6,ABS(H19)&gt;=$C$5,$A19&lt;&gt;3100),"Review","")</f>
        <v/>
      </c>
    </row>
    <row r="20" customFormat="false" ht="15" hidden="false" customHeight="false" outlineLevel="0" collapsed="false">
      <c r="A20" s="9" t="n">
        <v>2250</v>
      </c>
      <c r="B20" s="9" t="s">
        <v>91</v>
      </c>
      <c r="C20" s="9" t="s">
        <v>138</v>
      </c>
      <c r="D20" s="17" t="n">
        <v>-10900</v>
      </c>
      <c r="E20" s="17" t="n">
        <v>-10600</v>
      </c>
      <c r="F20" s="17" t="n">
        <v>-9100</v>
      </c>
      <c r="G20" s="18" t="n">
        <f aca="false">D20-E20</f>
        <v>-300</v>
      </c>
      <c r="H20" s="19" t="n">
        <f aca="false">IF(E20=0,0,G20/ABS(E20))</f>
        <v>-0.0283018867924528</v>
      </c>
      <c r="I20" s="19" t="n">
        <f aca="false">IF(F20=0,0,(D20-F20)/ABS(F20))</f>
        <v>-0.197802197802198</v>
      </c>
      <c r="J20" s="20" t="str">
        <f aca="false">IF(AND(ABS(G20)&gt;=$C$6,ABS(H20)&gt;=$C$5,$A20&lt;&gt;3100),"Review","")</f>
        <v/>
      </c>
    </row>
    <row r="21" customFormat="false" ht="15" hidden="false" customHeight="false" outlineLevel="0" collapsed="false">
      <c r="A21" s="9" t="n">
        <v>2500</v>
      </c>
      <c r="B21" s="9" t="s">
        <v>93</v>
      </c>
      <c r="C21" s="9" t="s">
        <v>138</v>
      </c>
      <c r="D21" s="17" t="n">
        <v>-400000</v>
      </c>
      <c r="E21" s="17" t="n">
        <v>-400000</v>
      </c>
      <c r="F21" s="17" t="n">
        <v>-450000</v>
      </c>
      <c r="G21" s="18" t="n">
        <f aca="false">D21-E21</f>
        <v>0</v>
      </c>
      <c r="H21" s="19" t="n">
        <f aca="false">IF(E21=0,0,G21/ABS(E21))</f>
        <v>0</v>
      </c>
      <c r="I21" s="19" t="n">
        <f aca="false">IF(F21=0,0,(D21-F21)/ABS(F21))</f>
        <v>0.111111111111111</v>
      </c>
      <c r="J21" s="20" t="str">
        <f aca="false">IF(AND(ABS(G21)&gt;=$C$6,ABS(H21)&gt;=$C$5,$A21&lt;&gt;3100),"Review","")</f>
        <v/>
      </c>
    </row>
    <row r="22" customFormat="false" ht="15" hidden="false" customHeight="false" outlineLevel="0" collapsed="false">
      <c r="A22" s="9" t="n">
        <v>3000</v>
      </c>
      <c r="B22" s="9" t="s">
        <v>94</v>
      </c>
      <c r="C22" s="9" t="s">
        <v>138</v>
      </c>
      <c r="D22" s="17" t="n">
        <v>-50000</v>
      </c>
      <c r="E22" s="17" t="n">
        <v>-50000</v>
      </c>
      <c r="F22" s="17" t="n">
        <v>-50000</v>
      </c>
      <c r="G22" s="18" t="n">
        <f aca="false">D22-E22</f>
        <v>0</v>
      </c>
      <c r="H22" s="19" t="n">
        <f aca="false">IF(E22=0,0,G22/ABS(E22))</f>
        <v>0</v>
      </c>
      <c r="I22" s="19" t="n">
        <f aca="false">IF(F22=0,0,(D22-F22)/ABS(F22))</f>
        <v>0</v>
      </c>
      <c r="J22" s="20" t="str">
        <f aca="false">IF(AND(ABS(G22)&gt;=$C$6,ABS(H22)&gt;=$C$5,$A22&lt;&gt;3100),"Review","")</f>
        <v/>
      </c>
    </row>
    <row r="23" customFormat="false" ht="15" hidden="false" customHeight="false" outlineLevel="0" collapsed="false">
      <c r="A23" s="9" t="n">
        <v>3100</v>
      </c>
      <c r="B23" s="9" t="s">
        <v>96</v>
      </c>
      <c r="C23" s="9" t="s">
        <v>138</v>
      </c>
      <c r="D23" s="17" t="n">
        <v>-182120</v>
      </c>
      <c r="E23" s="17" t="n">
        <v>-100320</v>
      </c>
      <c r="F23" s="17" t="n">
        <v>-90000</v>
      </c>
      <c r="G23" s="18" t="n">
        <f aca="false">D23-E23</f>
        <v>-81800</v>
      </c>
      <c r="H23" s="19" t="n">
        <f aca="false">IF(E23=0,0,G23/ABS(E23))</f>
        <v>-0.815390749601276</v>
      </c>
      <c r="I23" s="19" t="n">
        <f aca="false">IF(F23=0,0,(D23-F23)/ABS(F23))</f>
        <v>-1.02355555555556</v>
      </c>
      <c r="J23" s="20" t="str">
        <f aca="false">IF(AND(ABS(G23)&gt;=$C$6,ABS(H23)&gt;=$C$5,$A23&lt;&gt;3100),"Review","")</f>
        <v/>
      </c>
    </row>
    <row r="24" customFormat="false" ht="15" hidden="false" customHeight="false" outlineLevel="0" collapsed="false">
      <c r="A24" s="9" t="n">
        <v>4000</v>
      </c>
      <c r="B24" s="9" t="s">
        <v>97</v>
      </c>
      <c r="C24" s="9" t="s">
        <v>139</v>
      </c>
      <c r="D24" s="17" t="n">
        <v>-154000</v>
      </c>
      <c r="E24" s="17" t="n">
        <v>-148500</v>
      </c>
      <c r="F24" s="17" t="n">
        <v>-122000</v>
      </c>
      <c r="G24" s="18" t="n">
        <f aca="false">D24-E24</f>
        <v>-5500</v>
      </c>
      <c r="H24" s="19" t="n">
        <f aca="false">IF(E24=0,0,G24/ABS(E24))</f>
        <v>-0.037037037037037</v>
      </c>
      <c r="I24" s="19" t="n">
        <f aca="false">IF(F24=0,0,(D24-F24)/ABS(F24))</f>
        <v>-0.262295081967213</v>
      </c>
      <c r="J24" s="20" t="str">
        <f aca="false">IF(AND(ABS(G24)&gt;=$C$6,ABS(H24)&gt;=$C$5,$A24&lt;&gt;3100),"Review","")</f>
        <v/>
      </c>
    </row>
    <row r="25" customFormat="false" ht="15" hidden="false" customHeight="false" outlineLevel="0" collapsed="false">
      <c r="A25" s="9" t="n">
        <v>4100</v>
      </c>
      <c r="B25" s="9" t="s">
        <v>100</v>
      </c>
      <c r="C25" s="9" t="s">
        <v>139</v>
      </c>
      <c r="D25" s="17" t="n">
        <v>-144000</v>
      </c>
      <c r="E25" s="17" t="n">
        <v>-140000</v>
      </c>
      <c r="F25" s="17" t="n">
        <v>-112000</v>
      </c>
      <c r="G25" s="18" t="n">
        <f aca="false">D25-E25</f>
        <v>-4000</v>
      </c>
      <c r="H25" s="19" t="n">
        <f aca="false">IF(E25=0,0,G25/ABS(E25))</f>
        <v>-0.0285714285714286</v>
      </c>
      <c r="I25" s="19" t="n">
        <f aca="false">IF(F25=0,0,(D25-F25)/ABS(F25))</f>
        <v>-0.285714285714286</v>
      </c>
      <c r="J25" s="20" t="str">
        <f aca="false">IF(AND(ABS(G25)&gt;=$C$6,ABS(H25)&gt;=$C$5,$A25&lt;&gt;3100),"Review","")</f>
        <v/>
      </c>
    </row>
    <row r="26" customFormat="false" ht="15" hidden="false" customHeight="false" outlineLevel="0" collapsed="false">
      <c r="A26" s="9" t="n">
        <v>4200</v>
      </c>
      <c r="B26" s="9" t="s">
        <v>101</v>
      </c>
      <c r="C26" s="9" t="s">
        <v>139</v>
      </c>
      <c r="D26" s="17" t="n">
        <v>-70000</v>
      </c>
      <c r="E26" s="17" t="n">
        <v>-69000</v>
      </c>
      <c r="F26" s="17" t="n">
        <v>-52000</v>
      </c>
      <c r="G26" s="18" t="n">
        <f aca="false">D26-E26</f>
        <v>-1000</v>
      </c>
      <c r="H26" s="19" t="n">
        <f aca="false">IF(E26=0,0,G26/ABS(E26))</f>
        <v>-0.0144927536231884</v>
      </c>
      <c r="I26" s="19" t="n">
        <f aca="false">IF(F26=0,0,(D26-F26)/ABS(F26))</f>
        <v>-0.346153846153846</v>
      </c>
      <c r="J26" s="20" t="str">
        <f aca="false">IF(AND(ABS(G26)&gt;=$C$6,ABS(H26)&gt;=$C$5,$A26&lt;&gt;3100),"Review","")</f>
        <v/>
      </c>
    </row>
    <row r="27" customFormat="false" ht="15" hidden="false" customHeight="false" outlineLevel="0" collapsed="false">
      <c r="A27" s="9" t="n">
        <v>4300</v>
      </c>
      <c r="B27" s="9" t="s">
        <v>102</v>
      </c>
      <c r="C27" s="9" t="s">
        <v>139</v>
      </c>
      <c r="D27" s="17" t="n">
        <v>-20000</v>
      </c>
      <c r="E27" s="17" t="n">
        <v>-22000</v>
      </c>
      <c r="F27" s="17" t="n">
        <v>-14000</v>
      </c>
      <c r="G27" s="18" t="n">
        <f aca="false">D27-E27</f>
        <v>2000</v>
      </c>
      <c r="H27" s="19" t="n">
        <f aca="false">IF(E27=0,0,G27/ABS(E27))</f>
        <v>0.0909090909090909</v>
      </c>
      <c r="I27" s="19" t="n">
        <f aca="false">IF(F27=0,0,(D27-F27)/ABS(F27))</f>
        <v>-0.428571428571429</v>
      </c>
      <c r="J27" s="20" t="str">
        <f aca="false">IF(AND(ABS(G27)&gt;=$C$6,ABS(H27)&gt;=$C$5,$A27&lt;&gt;3100),"Review","")</f>
        <v/>
      </c>
    </row>
    <row r="28" customFormat="false" ht="15" hidden="false" customHeight="false" outlineLevel="0" collapsed="false">
      <c r="A28" s="9" t="n">
        <v>5000</v>
      </c>
      <c r="B28" s="9" t="s">
        <v>103</v>
      </c>
      <c r="C28" s="9" t="s">
        <v>139</v>
      </c>
      <c r="D28" s="17" t="n">
        <v>142000</v>
      </c>
      <c r="E28" s="17" t="n">
        <v>139500</v>
      </c>
      <c r="F28" s="17" t="n">
        <v>118000</v>
      </c>
      <c r="G28" s="18" t="n">
        <f aca="false">D28-E28</f>
        <v>2500</v>
      </c>
      <c r="H28" s="19" t="n">
        <f aca="false">IF(E28=0,0,G28/ABS(E28))</f>
        <v>0.017921146953405</v>
      </c>
      <c r="I28" s="19" t="n">
        <f aca="false">IF(F28=0,0,(D28-F28)/ABS(F28))</f>
        <v>0.203389830508475</v>
      </c>
      <c r="J28" s="20" t="str">
        <f aca="false">IF(AND(ABS(G28)&gt;=$C$6,ABS(H28)&gt;=$C$5,$A28&lt;&gt;3100),"Review","")</f>
        <v/>
      </c>
    </row>
    <row r="29" customFormat="false" ht="15" hidden="false" customHeight="false" outlineLevel="0" collapsed="false">
      <c r="A29" s="9" t="n">
        <v>5100</v>
      </c>
      <c r="B29" s="9" t="s">
        <v>106</v>
      </c>
      <c r="C29" s="9" t="s">
        <v>139</v>
      </c>
      <c r="D29" s="17" t="n">
        <v>71000</v>
      </c>
      <c r="E29" s="17" t="n">
        <v>56000</v>
      </c>
      <c r="F29" s="17" t="n">
        <v>42000</v>
      </c>
      <c r="G29" s="18" t="n">
        <f aca="false">D29-E29</f>
        <v>15000</v>
      </c>
      <c r="H29" s="19" t="n">
        <f aca="false">IF(E29=0,0,G29/ABS(E29))</f>
        <v>0.267857142857143</v>
      </c>
      <c r="I29" s="19" t="n">
        <f aca="false">IF(F29=0,0,(D29-F29)/ABS(F29))</f>
        <v>0.690476190476191</v>
      </c>
      <c r="J29" s="20" t="str">
        <f aca="false">IF(AND(ABS(G29)&gt;=$C$6,ABS(H29)&gt;=$C$5,$A29&lt;&gt;3100),"Review","")</f>
        <v>Review</v>
      </c>
    </row>
    <row r="30" customFormat="false" ht="15" hidden="false" customHeight="false" outlineLevel="0" collapsed="false">
      <c r="A30" s="9" t="n">
        <v>5200</v>
      </c>
      <c r="B30" s="9" t="s">
        <v>108</v>
      </c>
      <c r="C30" s="9" t="s">
        <v>139</v>
      </c>
      <c r="D30" s="17" t="n">
        <v>17000</v>
      </c>
      <c r="E30" s="17" t="n">
        <v>15500</v>
      </c>
      <c r="F30" s="17" t="n">
        <v>11500</v>
      </c>
      <c r="G30" s="18" t="n">
        <f aca="false">D30-E30</f>
        <v>1500</v>
      </c>
      <c r="H30" s="19" t="n">
        <f aca="false">IF(E30=0,0,G30/ABS(E30))</f>
        <v>0.0967741935483871</v>
      </c>
      <c r="I30" s="19" t="n">
        <f aca="false">IF(F30=0,0,(D30-F30)/ABS(F30))</f>
        <v>0.478260869565217</v>
      </c>
      <c r="J30" s="20" t="str">
        <f aca="false">IF(AND(ABS(G30)&gt;=$C$6,ABS(H30)&gt;=$C$5,$A30&lt;&gt;3100),"Review","")</f>
        <v/>
      </c>
    </row>
    <row r="31" customFormat="false" ht="15" hidden="false" customHeight="false" outlineLevel="0" collapsed="false">
      <c r="A31" s="9" t="n">
        <v>6000</v>
      </c>
      <c r="B31" s="9" t="s">
        <v>109</v>
      </c>
      <c r="C31" s="9" t="s">
        <v>139</v>
      </c>
      <c r="D31" s="17" t="n">
        <v>18000</v>
      </c>
      <c r="E31" s="17" t="n">
        <v>18000</v>
      </c>
      <c r="F31" s="17" t="n">
        <v>16500</v>
      </c>
      <c r="G31" s="18" t="n">
        <f aca="false">D31-E31</f>
        <v>0</v>
      </c>
      <c r="H31" s="19" t="n">
        <f aca="false">IF(E31=0,0,G31/ABS(E31))</f>
        <v>0</v>
      </c>
      <c r="I31" s="19" t="n">
        <f aca="false">IF(F31=0,0,(D31-F31)/ABS(F31))</f>
        <v>0.0909090909090909</v>
      </c>
      <c r="J31" s="20" t="str">
        <f aca="false">IF(AND(ABS(G31)&gt;=$C$6,ABS(H31)&gt;=$C$5,$A31&lt;&gt;3100),"Review","")</f>
        <v/>
      </c>
    </row>
    <row r="32" customFormat="false" ht="15" hidden="false" customHeight="false" outlineLevel="0" collapsed="false">
      <c r="A32" s="9" t="n">
        <v>6100</v>
      </c>
      <c r="B32" s="9" t="s">
        <v>111</v>
      </c>
      <c r="C32" s="9" t="s">
        <v>139</v>
      </c>
      <c r="D32" s="17" t="n">
        <v>14500</v>
      </c>
      <c r="E32" s="17" t="n">
        <v>14100</v>
      </c>
      <c r="F32" s="17" t="n">
        <v>11800</v>
      </c>
      <c r="G32" s="18" t="n">
        <f aca="false">D32-E32</f>
        <v>400</v>
      </c>
      <c r="H32" s="19" t="n">
        <f aca="false">IF(E32=0,0,G32/ABS(E32))</f>
        <v>0.0283687943262411</v>
      </c>
      <c r="I32" s="19" t="n">
        <f aca="false">IF(F32=0,0,(D32-F32)/ABS(F32))</f>
        <v>0.228813559322034</v>
      </c>
      <c r="J32" s="20" t="str">
        <f aca="false">IF(AND(ABS(G32)&gt;=$C$6,ABS(H32)&gt;=$C$5,$A32&lt;&gt;3100),"Review","")</f>
        <v/>
      </c>
    </row>
    <row r="33" customFormat="false" ht="15" hidden="false" customHeight="false" outlineLevel="0" collapsed="false">
      <c r="A33" s="9" t="n">
        <v>6200</v>
      </c>
      <c r="B33" s="9" t="s">
        <v>112</v>
      </c>
      <c r="C33" s="9" t="s">
        <v>139</v>
      </c>
      <c r="D33" s="17" t="n">
        <v>22000</v>
      </c>
      <c r="E33" s="17" t="n">
        <v>14500</v>
      </c>
      <c r="F33" s="17" t="n">
        <v>10000</v>
      </c>
      <c r="G33" s="18" t="n">
        <f aca="false">D33-E33</f>
        <v>7500</v>
      </c>
      <c r="H33" s="19" t="n">
        <f aca="false">IF(E33=0,0,G33/ABS(E33))</f>
        <v>0.517241379310345</v>
      </c>
      <c r="I33" s="19" t="n">
        <f aca="false">IF(F33=0,0,(D33-F33)/ABS(F33))</f>
        <v>1.2</v>
      </c>
      <c r="J33" s="20" t="str">
        <f aca="false">IF(AND(ABS(G33)&gt;=$C$6,ABS(H33)&gt;=$C$5,$A33&lt;&gt;3100),"Review","")</f>
        <v/>
      </c>
    </row>
    <row r="34" customFormat="false" ht="15" hidden="false" customHeight="false" outlineLevel="0" collapsed="false">
      <c r="A34" s="9" t="n">
        <v>6300</v>
      </c>
      <c r="B34" s="9" t="s">
        <v>113</v>
      </c>
      <c r="C34" s="9" t="s">
        <v>139</v>
      </c>
      <c r="D34" s="17" t="n">
        <v>12000</v>
      </c>
      <c r="E34" s="17" t="n">
        <v>14000</v>
      </c>
      <c r="F34" s="17" t="n">
        <v>10500</v>
      </c>
      <c r="G34" s="18" t="n">
        <f aca="false">D34-E34</f>
        <v>-2000</v>
      </c>
      <c r="H34" s="19" t="n">
        <f aca="false">IF(E34=0,0,G34/ABS(E34))</f>
        <v>-0.142857142857143</v>
      </c>
      <c r="I34" s="19" t="n">
        <f aca="false">IF(F34=0,0,(D34-F34)/ABS(F34))</f>
        <v>0.142857142857143</v>
      </c>
      <c r="J34" s="20" t="str">
        <f aca="false">IF(AND(ABS(G34)&gt;=$C$6,ABS(H34)&gt;=$C$5,$A34&lt;&gt;3100),"Review","")</f>
        <v/>
      </c>
    </row>
    <row r="35" customFormat="false" ht="15" hidden="false" customHeight="false" outlineLevel="0" collapsed="false">
      <c r="A35" s="9" t="n">
        <v>6400</v>
      </c>
      <c r="B35" s="9" t="s">
        <v>114</v>
      </c>
      <c r="C35" s="9" t="s">
        <v>139</v>
      </c>
      <c r="D35" s="17" t="n">
        <v>21800</v>
      </c>
      <c r="E35" s="17" t="n">
        <v>9600</v>
      </c>
      <c r="F35" s="17" t="n">
        <v>8900</v>
      </c>
      <c r="G35" s="18" t="n">
        <f aca="false">D35-E35</f>
        <v>12200</v>
      </c>
      <c r="H35" s="19" t="n">
        <f aca="false">IF(E35=0,0,G35/ABS(E35))</f>
        <v>1.27083333333333</v>
      </c>
      <c r="I35" s="19" t="n">
        <f aca="false">IF(F35=0,0,(D35-F35)/ABS(F35))</f>
        <v>1.44943820224719</v>
      </c>
      <c r="J35" s="20" t="str">
        <f aca="false">IF(AND(ABS(G35)&gt;=$C$6,ABS(H35)&gt;=$C$5,$A35&lt;&gt;3100),"Review","")</f>
        <v>Review</v>
      </c>
    </row>
    <row r="36" customFormat="false" ht="15" hidden="false" customHeight="false" outlineLevel="0" collapsed="false">
      <c r="A36" s="9" t="n">
        <v>6500</v>
      </c>
      <c r="B36" s="9" t="s">
        <v>115</v>
      </c>
      <c r="C36" s="9" t="s">
        <v>139</v>
      </c>
      <c r="D36" s="17" t="n">
        <v>4200</v>
      </c>
      <c r="E36" s="17" t="n">
        <v>4200</v>
      </c>
      <c r="F36" s="17" t="n">
        <v>3800</v>
      </c>
      <c r="G36" s="18" t="n">
        <f aca="false">D36-E36</f>
        <v>0</v>
      </c>
      <c r="H36" s="19" t="n">
        <f aca="false">IF(E36=0,0,G36/ABS(E36))</f>
        <v>0</v>
      </c>
      <c r="I36" s="19" t="n">
        <f aca="false">IF(F36=0,0,(D36-F36)/ABS(F36))</f>
        <v>0.105263157894737</v>
      </c>
      <c r="J36" s="20" t="str">
        <f aca="false">IF(AND(ABS(G36)&gt;=$C$6,ABS(H36)&gt;=$C$5,$A36&lt;&gt;3100),"Review","")</f>
        <v/>
      </c>
    </row>
    <row r="37" customFormat="false" ht="15" hidden="false" customHeight="false" outlineLevel="0" collapsed="false">
      <c r="A37" s="9" t="n">
        <v>6600</v>
      </c>
      <c r="B37" s="9" t="s">
        <v>117</v>
      </c>
      <c r="C37" s="9" t="s">
        <v>139</v>
      </c>
      <c r="D37" s="17" t="n">
        <v>6500</v>
      </c>
      <c r="E37" s="17" t="n">
        <v>6500</v>
      </c>
      <c r="F37" s="17" t="n">
        <v>4000</v>
      </c>
      <c r="G37" s="18" t="n">
        <f aca="false">D37-E37</f>
        <v>0</v>
      </c>
      <c r="H37" s="19" t="n">
        <f aca="false">IF(E37=0,0,G37/ABS(E37))</f>
        <v>0</v>
      </c>
      <c r="I37" s="19" t="n">
        <f aca="false">IF(F37=0,0,(D37-F37)/ABS(F37))</f>
        <v>0.625</v>
      </c>
      <c r="J37" s="20" t="str">
        <f aca="false">IF(AND(ABS(G37)&gt;=$C$6,ABS(H37)&gt;=$C$5,$A37&lt;&gt;3100),"Review","")</f>
        <v/>
      </c>
    </row>
    <row r="38" customFormat="false" ht="15" hidden="false" customHeight="false" outlineLevel="0" collapsed="false">
      <c r="A38" s="9" t="n">
        <v>6700</v>
      </c>
      <c r="B38" s="9" t="s">
        <v>119</v>
      </c>
      <c r="C38" s="9" t="s">
        <v>139</v>
      </c>
      <c r="D38" s="17" t="n">
        <v>3000</v>
      </c>
      <c r="E38" s="17" t="n">
        <v>3000</v>
      </c>
      <c r="F38" s="17" t="n">
        <v>2000</v>
      </c>
      <c r="G38" s="18" t="n">
        <f aca="false">D38-E38</f>
        <v>0</v>
      </c>
      <c r="H38" s="19" t="n">
        <f aca="false">IF(E38=0,0,G38/ABS(E38))</f>
        <v>0</v>
      </c>
      <c r="I38" s="19" t="n">
        <f aca="false">IF(F38=0,0,(D38-F38)/ABS(F38))</f>
        <v>0.5</v>
      </c>
      <c r="J38" s="20" t="str">
        <f aca="false">IF(AND(ABS(G38)&gt;=$C$6,ABS(H38)&gt;=$C$5,$A38&lt;&gt;3100),"Review","")</f>
        <v/>
      </c>
    </row>
    <row r="39" customFormat="false" ht="15" hidden="false" customHeight="false" outlineLevel="0" collapsed="false">
      <c r="A39" s="9" t="n">
        <v>7000</v>
      </c>
      <c r="B39" s="9" t="s">
        <v>121</v>
      </c>
      <c r="C39" s="9" t="s">
        <v>139</v>
      </c>
      <c r="D39" s="17" t="n">
        <v>2800</v>
      </c>
      <c r="E39" s="17" t="n">
        <v>2800</v>
      </c>
      <c r="F39" s="17" t="n">
        <v>3100</v>
      </c>
      <c r="G39" s="18" t="n">
        <f aca="false">D39-E39</f>
        <v>0</v>
      </c>
      <c r="H39" s="19" t="n">
        <f aca="false">IF(E39=0,0,G39/ABS(E39))</f>
        <v>0</v>
      </c>
      <c r="I39" s="19" t="n">
        <f aca="false">IF(F39=0,0,(D39-F39)/ABS(F39))</f>
        <v>-0.0967741935483871</v>
      </c>
      <c r="J39" s="20" t="str">
        <f aca="false">IF(AND(ABS(G39)&gt;=$C$6,ABS(H39)&gt;=$C$5,$A39&lt;&gt;3100),"Review","")</f>
        <v/>
      </c>
    </row>
    <row r="40" customFormat="false" ht="15" hidden="false" customHeight="false" outlineLevel="0" collapsed="false">
      <c r="A40" s="21"/>
      <c r="B40" s="21" t="s">
        <v>140</v>
      </c>
      <c r="C40" s="21"/>
      <c r="D40" s="22" t="n">
        <f aca="false">SUM(D9:D39)</f>
        <v>0</v>
      </c>
      <c r="E40" s="22" t="n">
        <f aca="false">SUM(E9:E39)</f>
        <v>0</v>
      </c>
      <c r="F40" s="22" t="n">
        <f aca="false">SUM(F9:F39)</f>
        <v>0</v>
      </c>
      <c r="G40" s="21"/>
      <c r="H40" s="21"/>
      <c r="I40" s="21"/>
      <c r="J40" s="21"/>
    </row>
    <row r="41" customFormat="false" ht="15" hidden="false" customHeight="false" outlineLevel="0" collapsed="false">
      <c r="B41" s="3" t="str">
        <f aca="false">IF(AND(ROUND(D40,0)=0,ROUND(E40,0)=0,ROUND(F40,0)=0),"Balanced","Out of balance")</f>
        <v>Balanced</v>
      </c>
    </row>
    <row r="43" customFormat="false" ht="15" hidden="false" customHeight="false" outlineLevel="0" collapsed="false">
      <c r="A43" s="3" t="s">
        <v>141</v>
      </c>
    </row>
    <row r="44" customFormat="false" ht="15" hidden="false" customHeight="false" outlineLevel="0" collapsed="false">
      <c r="A44" s="2" t="s">
        <v>142</v>
      </c>
    </row>
    <row r="45" customFormat="false" ht="15" hidden="false" customHeight="false" outlineLevel="0" collapsed="false">
      <c r="A45" s="2" t="s">
        <v>143</v>
      </c>
    </row>
    <row r="46" customFormat="false" ht="15" hidden="false" customHeight="false" outlineLevel="0" collapsed="false">
      <c r="A46" s="2" t="s">
        <v>144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14" min="3" style="0" width="11"/>
    <col collapsed="false" customWidth="true" hidden="false" outlineLevel="0" max="15" min="15" style="0" width="13"/>
    <col collapsed="false" customWidth="true" hidden="false" outlineLevel="0" max="16" min="16" style="0" width="12"/>
  </cols>
  <sheetData>
    <row r="1" customFormat="false" ht="17.35" hidden="false" customHeight="false" outlineLevel="0" collapsed="false">
      <c r="A1" s="1" t="s">
        <v>145</v>
      </c>
    </row>
    <row r="2" customFormat="false" ht="15" hidden="false" customHeight="false" outlineLevel="0" collapsed="false">
      <c r="A2" s="2" t="s">
        <v>146</v>
      </c>
    </row>
    <row r="4" customFormat="false" ht="30" hidden="false" customHeight="true" outlineLevel="0" collapsed="false">
      <c r="A4" s="6" t="s">
        <v>147</v>
      </c>
      <c r="B4" s="6" t="s">
        <v>148</v>
      </c>
      <c r="C4" s="6" t="s">
        <v>149</v>
      </c>
      <c r="D4" s="6" t="s">
        <v>150</v>
      </c>
      <c r="E4" s="6" t="s">
        <v>151</v>
      </c>
      <c r="F4" s="6" t="s">
        <v>152</v>
      </c>
      <c r="G4" s="6" t="s">
        <v>153</v>
      </c>
      <c r="H4" s="6" t="s">
        <v>154</v>
      </c>
      <c r="I4" s="6" t="s">
        <v>155</v>
      </c>
      <c r="J4" s="6" t="s">
        <v>156</v>
      </c>
      <c r="K4" s="6" t="s">
        <v>157</v>
      </c>
      <c r="L4" s="6" t="s">
        <v>158</v>
      </c>
      <c r="M4" s="6" t="s">
        <v>132</v>
      </c>
      <c r="N4" s="6" t="s">
        <v>131</v>
      </c>
      <c r="O4" s="6" t="s">
        <v>159</v>
      </c>
      <c r="P4" s="6" t="s">
        <v>133</v>
      </c>
    </row>
    <row r="5" customFormat="false" ht="15" hidden="false" customHeight="false" outlineLevel="0" collapsed="false">
      <c r="A5" s="23"/>
      <c r="B5" s="24" t="s">
        <v>98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customFormat="false" ht="15" hidden="false" customHeight="false" outlineLevel="0" collapsed="false">
      <c r="A6" s="9" t="n">
        <v>4000</v>
      </c>
      <c r="B6" s="9" t="s">
        <v>97</v>
      </c>
      <c r="C6" s="17" t="n">
        <v>122000</v>
      </c>
      <c r="D6" s="17" t="n">
        <v>128100</v>
      </c>
      <c r="E6" s="17" t="n">
        <v>130900</v>
      </c>
      <c r="F6" s="17" t="n">
        <v>129200</v>
      </c>
      <c r="G6" s="17" t="n">
        <v>133900</v>
      </c>
      <c r="H6" s="17" t="n">
        <v>139100</v>
      </c>
      <c r="I6" s="17" t="n">
        <v>137300</v>
      </c>
      <c r="J6" s="17" t="n">
        <v>139600</v>
      </c>
      <c r="K6" s="17" t="n">
        <v>146400</v>
      </c>
      <c r="L6" s="17" t="n">
        <v>146100</v>
      </c>
      <c r="M6" s="25" t="n">
        <f aca="false">-INDEX('Trial Balance'!$E$9:$E$39,MATCH($A6,'Trial Balance'!$A$9:$A$39,0))</f>
        <v>148500</v>
      </c>
      <c r="N6" s="25" t="n">
        <f aca="false">-INDEX('Trial Balance'!$D$9:$D$39,MATCH($A6,'Trial Balance'!$A$9:$A$39,0))</f>
        <v>154000</v>
      </c>
      <c r="O6" s="18" t="n">
        <f aca="false">SUM(C6:N6)</f>
        <v>1655100</v>
      </c>
      <c r="P6" s="25" t="n">
        <f aca="false">-INDEX('Trial Balance'!$F$9:$F$39,MATCH($A6,'Trial Balance'!$A$9:$A$39,0))</f>
        <v>122000</v>
      </c>
    </row>
    <row r="7" customFormat="false" ht="15" hidden="false" customHeight="false" outlineLevel="0" collapsed="false">
      <c r="A7" s="9" t="n">
        <v>4100</v>
      </c>
      <c r="B7" s="9" t="s">
        <v>100</v>
      </c>
      <c r="C7" s="17" t="n">
        <v>115900</v>
      </c>
      <c r="D7" s="17" t="n">
        <v>118500</v>
      </c>
      <c r="E7" s="17" t="n">
        <v>117300</v>
      </c>
      <c r="F7" s="17" t="n">
        <v>122300</v>
      </c>
      <c r="G7" s="17" t="n">
        <v>127100</v>
      </c>
      <c r="H7" s="17" t="n">
        <v>125600</v>
      </c>
      <c r="I7" s="17" t="n">
        <v>128500</v>
      </c>
      <c r="J7" s="17" t="n">
        <v>134900</v>
      </c>
      <c r="K7" s="17" t="n">
        <v>134600</v>
      </c>
      <c r="L7" s="17" t="n">
        <v>135000</v>
      </c>
      <c r="M7" s="25" t="n">
        <f aca="false">-INDEX('Trial Balance'!$E$9:$E$39,MATCH($A7,'Trial Balance'!$A$9:$A$39,0))</f>
        <v>140000</v>
      </c>
      <c r="N7" s="25" t="n">
        <f aca="false">-INDEX('Trial Balance'!$D$9:$D$39,MATCH($A7,'Trial Balance'!$A$9:$A$39,0))</f>
        <v>144000</v>
      </c>
      <c r="O7" s="18" t="n">
        <f aca="false">SUM(C7:N7)</f>
        <v>1543700</v>
      </c>
      <c r="P7" s="25" t="n">
        <f aca="false">-INDEX('Trial Balance'!$F$9:$F$39,MATCH($A7,'Trial Balance'!$A$9:$A$39,0))</f>
        <v>112000</v>
      </c>
    </row>
    <row r="8" customFormat="false" ht="15" hidden="false" customHeight="false" outlineLevel="0" collapsed="false">
      <c r="A8" s="9" t="n">
        <v>4200</v>
      </c>
      <c r="B8" s="9" t="s">
        <v>101</v>
      </c>
      <c r="C8" s="17" t="n">
        <v>54600</v>
      </c>
      <c r="D8" s="17" t="n">
        <v>54400</v>
      </c>
      <c r="E8" s="17" t="n">
        <v>56000</v>
      </c>
      <c r="F8" s="17" t="n">
        <v>59300</v>
      </c>
      <c r="G8" s="17" t="n">
        <v>59600</v>
      </c>
      <c r="H8" s="17" t="n">
        <v>60100</v>
      </c>
      <c r="I8" s="17" t="n">
        <v>63700</v>
      </c>
      <c r="J8" s="17" t="n">
        <v>65000</v>
      </c>
      <c r="K8" s="17" t="n">
        <v>64600</v>
      </c>
      <c r="L8" s="17" t="n">
        <v>67700</v>
      </c>
      <c r="M8" s="25" t="n">
        <f aca="false">-INDEX('Trial Balance'!$E$9:$E$39,MATCH($A8,'Trial Balance'!$A$9:$A$39,0))</f>
        <v>69000</v>
      </c>
      <c r="N8" s="25" t="n">
        <f aca="false">-INDEX('Trial Balance'!$D$9:$D$39,MATCH($A8,'Trial Balance'!$A$9:$A$39,0))</f>
        <v>70000</v>
      </c>
      <c r="O8" s="18" t="n">
        <f aca="false">SUM(C8:N8)</f>
        <v>744000</v>
      </c>
      <c r="P8" s="25" t="n">
        <f aca="false">-INDEX('Trial Balance'!$F$9:$F$39,MATCH($A8,'Trial Balance'!$A$9:$A$39,0))</f>
        <v>52000</v>
      </c>
    </row>
    <row r="9" customFormat="false" ht="15" hidden="false" customHeight="false" outlineLevel="0" collapsed="false">
      <c r="A9" s="9" t="n">
        <v>4300</v>
      </c>
      <c r="B9" s="9" t="s">
        <v>102</v>
      </c>
      <c r="C9" s="17" t="n">
        <v>14500</v>
      </c>
      <c r="D9" s="17" t="n">
        <v>15300</v>
      </c>
      <c r="E9" s="17" t="n">
        <v>16500</v>
      </c>
      <c r="F9" s="17" t="n">
        <v>16900</v>
      </c>
      <c r="G9" s="17" t="n">
        <v>17300</v>
      </c>
      <c r="H9" s="17" t="n">
        <v>18600</v>
      </c>
      <c r="I9" s="17" t="n">
        <v>19200</v>
      </c>
      <c r="J9" s="17" t="n">
        <v>19400</v>
      </c>
      <c r="K9" s="17" t="n">
        <v>20600</v>
      </c>
      <c r="L9" s="17" t="n">
        <v>21600</v>
      </c>
      <c r="M9" s="25" t="n">
        <f aca="false">-INDEX('Trial Balance'!$E$9:$E$39,MATCH($A9,'Trial Balance'!$A$9:$A$39,0))</f>
        <v>22000</v>
      </c>
      <c r="N9" s="25" t="n">
        <f aca="false">-INDEX('Trial Balance'!$D$9:$D$39,MATCH($A9,'Trial Balance'!$A$9:$A$39,0))</f>
        <v>20000</v>
      </c>
      <c r="O9" s="18" t="n">
        <f aca="false">SUM(C9:N9)</f>
        <v>221900</v>
      </c>
      <c r="P9" s="25" t="n">
        <f aca="false">-INDEX('Trial Balance'!$F$9:$F$39,MATCH($A9,'Trial Balance'!$A$9:$A$39,0))</f>
        <v>14000</v>
      </c>
    </row>
    <row r="10" customFormat="false" ht="15" hidden="false" customHeight="false" outlineLevel="0" collapsed="false">
      <c r="A10" s="21"/>
      <c r="B10" s="21" t="s">
        <v>160</v>
      </c>
      <c r="C10" s="22" t="n">
        <f aca="false">SUM(C6:C9)</f>
        <v>307000</v>
      </c>
      <c r="D10" s="22" t="n">
        <f aca="false">SUM(D6:D9)</f>
        <v>316300</v>
      </c>
      <c r="E10" s="22" t="n">
        <f aca="false">SUM(E6:E9)</f>
        <v>320700</v>
      </c>
      <c r="F10" s="22" t="n">
        <f aca="false">SUM(F6:F9)</f>
        <v>327700</v>
      </c>
      <c r="G10" s="22" t="n">
        <f aca="false">SUM(G6:G9)</f>
        <v>337900</v>
      </c>
      <c r="H10" s="22" t="n">
        <f aca="false">SUM(H6:H9)</f>
        <v>343400</v>
      </c>
      <c r="I10" s="22" t="n">
        <f aca="false">SUM(I6:I9)</f>
        <v>348700</v>
      </c>
      <c r="J10" s="22" t="n">
        <f aca="false">SUM(J6:J9)</f>
        <v>358900</v>
      </c>
      <c r="K10" s="22" t="n">
        <f aca="false">SUM(K6:K9)</f>
        <v>366200</v>
      </c>
      <c r="L10" s="22" t="n">
        <f aca="false">SUM(L6:L9)</f>
        <v>370400</v>
      </c>
      <c r="M10" s="22" t="n">
        <f aca="false">SUM(M6:M9)</f>
        <v>379500</v>
      </c>
      <c r="N10" s="22" t="n">
        <f aca="false">SUM(N6:N9)</f>
        <v>388000</v>
      </c>
      <c r="O10" s="22" t="n">
        <f aca="false">SUM(O6:O9)</f>
        <v>4164700</v>
      </c>
      <c r="P10" s="22" t="n">
        <f aca="false">SUM(P6:P9)</f>
        <v>300000</v>
      </c>
    </row>
    <row r="11" customFormat="false" ht="15" hidden="false" customHeight="false" outlineLevel="0" collapsed="false">
      <c r="A11" s="23"/>
      <c r="B11" s="24" t="s">
        <v>104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customFormat="false" ht="15" hidden="false" customHeight="false" outlineLevel="0" collapsed="false">
      <c r="A12" s="9" t="n">
        <v>5000</v>
      </c>
      <c r="B12" s="9" t="s">
        <v>103</v>
      </c>
      <c r="C12" s="17" t="n">
        <v>118300</v>
      </c>
      <c r="D12" s="17" t="n">
        <v>120800</v>
      </c>
      <c r="E12" s="17" t="n">
        <v>126300</v>
      </c>
      <c r="F12" s="17" t="n">
        <v>125400</v>
      </c>
      <c r="G12" s="17" t="n">
        <v>125500</v>
      </c>
      <c r="H12" s="17" t="n">
        <v>131600</v>
      </c>
      <c r="I12" s="17" t="n">
        <v>132700</v>
      </c>
      <c r="J12" s="17" t="n">
        <v>131000</v>
      </c>
      <c r="K12" s="17" t="n">
        <v>136300</v>
      </c>
      <c r="L12" s="17" t="n">
        <v>139800</v>
      </c>
      <c r="M12" s="25" t="n">
        <f aca="false">INDEX('Trial Balance'!$E$9:$E$39,MATCH($A12,'Trial Balance'!$A$9:$A$39,0))</f>
        <v>139500</v>
      </c>
      <c r="N12" s="25" t="n">
        <f aca="false">INDEX('Trial Balance'!$D$9:$D$39,MATCH($A12,'Trial Balance'!$A$9:$A$39,0))</f>
        <v>142000</v>
      </c>
      <c r="O12" s="18" t="n">
        <f aca="false">SUM(C12:N12)</f>
        <v>1569200</v>
      </c>
      <c r="P12" s="25" t="n">
        <f aca="false">INDEX('Trial Balance'!$F$9:$F$39,MATCH($A12,'Trial Balance'!$A$9:$A$39,0))</f>
        <v>118000</v>
      </c>
    </row>
    <row r="13" customFormat="false" ht="15" hidden="false" customHeight="false" outlineLevel="0" collapsed="false">
      <c r="A13" s="9" t="n">
        <v>5100</v>
      </c>
      <c r="B13" s="9" t="s">
        <v>106</v>
      </c>
      <c r="C13" s="17" t="n">
        <v>42900</v>
      </c>
      <c r="D13" s="17" t="n">
        <v>45400</v>
      </c>
      <c r="E13" s="17" t="n">
        <v>45600</v>
      </c>
      <c r="F13" s="17" t="n">
        <v>46300</v>
      </c>
      <c r="G13" s="17" t="n">
        <v>49100</v>
      </c>
      <c r="H13" s="17" t="n">
        <v>49900</v>
      </c>
      <c r="I13" s="17" t="n">
        <v>49900</v>
      </c>
      <c r="J13" s="17" t="n">
        <v>52500</v>
      </c>
      <c r="K13" s="17" t="n">
        <v>54300</v>
      </c>
      <c r="L13" s="17" t="n">
        <v>53800</v>
      </c>
      <c r="M13" s="25" t="n">
        <f aca="false">INDEX('Trial Balance'!$E$9:$E$39,MATCH($A13,'Trial Balance'!$A$9:$A$39,0))</f>
        <v>56000</v>
      </c>
      <c r="N13" s="25" t="n">
        <f aca="false">INDEX('Trial Balance'!$D$9:$D$39,MATCH($A13,'Trial Balance'!$A$9:$A$39,0))</f>
        <v>71000</v>
      </c>
      <c r="O13" s="18" t="n">
        <f aca="false">SUM(C13:N13)</f>
        <v>616700</v>
      </c>
      <c r="P13" s="25" t="n">
        <f aca="false">INDEX('Trial Balance'!$F$9:$F$39,MATCH($A13,'Trial Balance'!$A$9:$A$39,0))</f>
        <v>42000</v>
      </c>
    </row>
    <row r="14" customFormat="false" ht="15" hidden="false" customHeight="false" outlineLevel="0" collapsed="false">
      <c r="A14" s="9" t="n">
        <v>5200</v>
      </c>
      <c r="B14" s="9" t="s">
        <v>108</v>
      </c>
      <c r="C14" s="17" t="n">
        <v>12100</v>
      </c>
      <c r="D14" s="17" t="n">
        <v>12100</v>
      </c>
      <c r="E14" s="17" t="n">
        <v>12400</v>
      </c>
      <c r="F14" s="17" t="n">
        <v>13200</v>
      </c>
      <c r="G14" s="17" t="n">
        <v>13400</v>
      </c>
      <c r="H14" s="17" t="n">
        <v>13400</v>
      </c>
      <c r="I14" s="17" t="n">
        <v>14200</v>
      </c>
      <c r="J14" s="17" t="n">
        <v>14600</v>
      </c>
      <c r="K14" s="17" t="n">
        <v>14500</v>
      </c>
      <c r="L14" s="17" t="n">
        <v>15100</v>
      </c>
      <c r="M14" s="25" t="n">
        <f aca="false">INDEX('Trial Balance'!$E$9:$E$39,MATCH($A14,'Trial Balance'!$A$9:$A$39,0))</f>
        <v>15500</v>
      </c>
      <c r="N14" s="25" t="n">
        <f aca="false">INDEX('Trial Balance'!$D$9:$D$39,MATCH($A14,'Trial Balance'!$A$9:$A$39,0))</f>
        <v>17000</v>
      </c>
      <c r="O14" s="18" t="n">
        <f aca="false">SUM(C14:N14)</f>
        <v>167500</v>
      </c>
      <c r="P14" s="25" t="n">
        <f aca="false">INDEX('Trial Balance'!$F$9:$F$39,MATCH($A14,'Trial Balance'!$A$9:$A$39,0))</f>
        <v>11500</v>
      </c>
    </row>
    <row r="15" customFormat="false" ht="15" hidden="false" customHeight="false" outlineLevel="0" collapsed="false">
      <c r="A15" s="21"/>
      <c r="B15" s="21" t="s">
        <v>161</v>
      </c>
      <c r="C15" s="22" t="n">
        <f aca="false">SUM(C12:C14)</f>
        <v>173300</v>
      </c>
      <c r="D15" s="22" t="n">
        <f aca="false">SUM(D12:D14)</f>
        <v>178300</v>
      </c>
      <c r="E15" s="22" t="n">
        <f aca="false">SUM(E12:E14)</f>
        <v>184300</v>
      </c>
      <c r="F15" s="22" t="n">
        <f aca="false">SUM(F12:F14)</f>
        <v>184900</v>
      </c>
      <c r="G15" s="22" t="n">
        <f aca="false">SUM(G12:G14)</f>
        <v>188000</v>
      </c>
      <c r="H15" s="22" t="n">
        <f aca="false">SUM(H12:H14)</f>
        <v>194900</v>
      </c>
      <c r="I15" s="22" t="n">
        <f aca="false">SUM(I12:I14)</f>
        <v>196800</v>
      </c>
      <c r="J15" s="22" t="n">
        <f aca="false">SUM(J12:J14)</f>
        <v>198100</v>
      </c>
      <c r="K15" s="22" t="n">
        <f aca="false">SUM(K12:K14)</f>
        <v>205100</v>
      </c>
      <c r="L15" s="22" t="n">
        <f aca="false">SUM(L12:L14)</f>
        <v>208700</v>
      </c>
      <c r="M15" s="22" t="n">
        <f aca="false">SUM(M12:M14)</f>
        <v>211000</v>
      </c>
      <c r="N15" s="22" t="n">
        <f aca="false">SUM(N12:N14)</f>
        <v>230000</v>
      </c>
      <c r="O15" s="22" t="n">
        <f aca="false">SUM(O12:O14)</f>
        <v>2353400</v>
      </c>
      <c r="P15" s="22" t="n">
        <f aca="false">SUM(P12:P14)</f>
        <v>171500</v>
      </c>
    </row>
    <row r="16" customFormat="false" ht="15" hidden="false" customHeight="false" outlineLevel="0" collapsed="false">
      <c r="A16" s="21"/>
      <c r="B16" s="21" t="s">
        <v>162</v>
      </c>
      <c r="C16" s="22" t="n">
        <f aca="false">C10-C15</f>
        <v>133700</v>
      </c>
      <c r="D16" s="22" t="n">
        <f aca="false">D10-D15</f>
        <v>138000</v>
      </c>
      <c r="E16" s="22" t="n">
        <f aca="false">E10-E15</f>
        <v>136400</v>
      </c>
      <c r="F16" s="22" t="n">
        <f aca="false">F10-F15</f>
        <v>142800</v>
      </c>
      <c r="G16" s="22" t="n">
        <f aca="false">G10-G15</f>
        <v>149900</v>
      </c>
      <c r="H16" s="22" t="n">
        <f aca="false">H10-H15</f>
        <v>148500</v>
      </c>
      <c r="I16" s="22" t="n">
        <f aca="false">I10-I15</f>
        <v>151900</v>
      </c>
      <c r="J16" s="22" t="n">
        <f aca="false">J10-J15</f>
        <v>160800</v>
      </c>
      <c r="K16" s="22" t="n">
        <f aca="false">K10-K15</f>
        <v>161100</v>
      </c>
      <c r="L16" s="22" t="n">
        <f aca="false">L10-L15</f>
        <v>161700</v>
      </c>
      <c r="M16" s="22" t="n">
        <f aca="false">M10-M15</f>
        <v>168500</v>
      </c>
      <c r="N16" s="22" t="n">
        <f aca="false">N10-N15</f>
        <v>158000</v>
      </c>
      <c r="O16" s="22" t="n">
        <f aca="false">O10-O15</f>
        <v>1811300</v>
      </c>
      <c r="P16" s="22" t="n">
        <f aca="false">P10-P15</f>
        <v>128500</v>
      </c>
    </row>
    <row r="17" customFormat="false" ht="15" hidden="false" customHeight="false" outlineLevel="0" collapsed="false">
      <c r="A17" s="21"/>
      <c r="B17" s="21" t="s">
        <v>163</v>
      </c>
      <c r="C17" s="26" t="n">
        <f aca="false">IF(C10=0,0,C16/C10)</f>
        <v>0.435504885993485</v>
      </c>
      <c r="D17" s="26" t="n">
        <f aca="false">IF(D10=0,0,D16/D10)</f>
        <v>0.43629465697123</v>
      </c>
      <c r="E17" s="26" t="n">
        <f aca="false">IF(E10=0,0,E16/E10)</f>
        <v>0.425319613345806</v>
      </c>
      <c r="F17" s="26" t="n">
        <f aca="false">IF(F10=0,0,F16/F10)</f>
        <v>0.435764418675618</v>
      </c>
      <c r="G17" s="26" t="n">
        <f aca="false">IF(G10=0,0,G16/G10)</f>
        <v>0.443622373483279</v>
      </c>
      <c r="H17" s="26" t="n">
        <f aca="false">IF(H10=0,0,H16/H10)</f>
        <v>0.432440302853815</v>
      </c>
      <c r="I17" s="26" t="n">
        <f aca="false">IF(I10=0,0,I16/I10)</f>
        <v>0.435618009750502</v>
      </c>
      <c r="J17" s="26" t="n">
        <f aca="false">IF(J10=0,0,J16/J10)</f>
        <v>0.44803566453051</v>
      </c>
      <c r="K17" s="26" t="n">
        <f aca="false">IF(K10=0,0,K16/K10)</f>
        <v>0.4399235390497</v>
      </c>
      <c r="L17" s="26" t="n">
        <f aca="false">IF(L10=0,0,L16/L10)</f>
        <v>0.436555075593952</v>
      </c>
      <c r="M17" s="26" t="n">
        <f aca="false">IF(M10=0,0,M16/M10)</f>
        <v>0.444005270092227</v>
      </c>
      <c r="N17" s="26" t="n">
        <f aca="false">IF(N10=0,0,N16/N10)</f>
        <v>0.407216494845361</v>
      </c>
      <c r="O17" s="26" t="n">
        <f aca="false">IF(O10=0,0,O16/O10)</f>
        <v>0.434917280956612</v>
      </c>
      <c r="P17" s="26" t="n">
        <f aca="false">IF(P10=0,0,P16/P10)</f>
        <v>0.428333333333333</v>
      </c>
    </row>
    <row r="18" customFormat="false" ht="15" hidden="false" customHeight="false" outlineLevel="0" collapsed="false">
      <c r="A18" s="23"/>
      <c r="B18" s="24" t="s">
        <v>110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customFormat="false" ht="15" hidden="false" customHeight="false" outlineLevel="0" collapsed="false">
      <c r="A19" s="9" t="n">
        <v>6000</v>
      </c>
      <c r="B19" s="9" t="s">
        <v>109</v>
      </c>
      <c r="C19" s="17" t="n">
        <v>16500</v>
      </c>
      <c r="D19" s="17" t="n">
        <v>16500</v>
      </c>
      <c r="E19" s="17" t="n">
        <v>16500</v>
      </c>
      <c r="F19" s="17" t="n">
        <v>18000</v>
      </c>
      <c r="G19" s="17" t="n">
        <v>18000</v>
      </c>
      <c r="H19" s="17" t="n">
        <v>18000</v>
      </c>
      <c r="I19" s="17" t="n">
        <v>18000</v>
      </c>
      <c r="J19" s="17" t="n">
        <v>18000</v>
      </c>
      <c r="K19" s="17" t="n">
        <v>18000</v>
      </c>
      <c r="L19" s="17" t="n">
        <v>18000</v>
      </c>
      <c r="M19" s="25" t="n">
        <f aca="false">INDEX('Trial Balance'!$E$9:$E$39,MATCH($A19,'Trial Balance'!$A$9:$A$39,0))</f>
        <v>18000</v>
      </c>
      <c r="N19" s="25" t="n">
        <f aca="false">INDEX('Trial Balance'!$D$9:$D$39,MATCH($A19,'Trial Balance'!$A$9:$A$39,0))</f>
        <v>18000</v>
      </c>
      <c r="O19" s="18" t="n">
        <f aca="false">SUM(C19:N19)</f>
        <v>211500</v>
      </c>
      <c r="P19" s="25" t="n">
        <f aca="false">INDEX('Trial Balance'!$F$9:$F$39,MATCH($A19,'Trial Balance'!$A$9:$A$39,0))</f>
        <v>16500</v>
      </c>
    </row>
    <row r="20" customFormat="false" ht="15" hidden="false" customHeight="false" outlineLevel="0" collapsed="false">
      <c r="A20" s="9" t="n">
        <v>6100</v>
      </c>
      <c r="B20" s="9" t="s">
        <v>111</v>
      </c>
      <c r="C20" s="17" t="n">
        <v>11800</v>
      </c>
      <c r="D20" s="17" t="n">
        <v>12300</v>
      </c>
      <c r="E20" s="17" t="n">
        <v>12600</v>
      </c>
      <c r="F20" s="17" t="n">
        <v>12400</v>
      </c>
      <c r="G20" s="17" t="n">
        <v>12800</v>
      </c>
      <c r="H20" s="17" t="n">
        <v>13300</v>
      </c>
      <c r="I20" s="17" t="n">
        <v>13100</v>
      </c>
      <c r="J20" s="17" t="n">
        <v>13300</v>
      </c>
      <c r="K20" s="17" t="n">
        <v>13900</v>
      </c>
      <c r="L20" s="17" t="n">
        <v>13900</v>
      </c>
      <c r="M20" s="25" t="n">
        <f aca="false">INDEX('Trial Balance'!$E$9:$E$39,MATCH($A20,'Trial Balance'!$A$9:$A$39,0))</f>
        <v>14100</v>
      </c>
      <c r="N20" s="25" t="n">
        <f aca="false">INDEX('Trial Balance'!$D$9:$D$39,MATCH($A20,'Trial Balance'!$A$9:$A$39,0))</f>
        <v>14500</v>
      </c>
      <c r="O20" s="18" t="n">
        <f aca="false">SUM(C20:N20)</f>
        <v>158000</v>
      </c>
      <c r="P20" s="25" t="n">
        <f aca="false">INDEX('Trial Balance'!$F$9:$F$39,MATCH($A20,'Trial Balance'!$A$9:$A$39,0))</f>
        <v>11800</v>
      </c>
    </row>
    <row r="21" customFormat="false" ht="15" hidden="false" customHeight="false" outlineLevel="0" collapsed="false">
      <c r="A21" s="9" t="n">
        <v>6200</v>
      </c>
      <c r="B21" s="9" t="s">
        <v>112</v>
      </c>
      <c r="C21" s="17" t="n">
        <v>10500</v>
      </c>
      <c r="D21" s="17" t="n">
        <v>10900</v>
      </c>
      <c r="E21" s="17" t="n">
        <v>11000</v>
      </c>
      <c r="F21" s="17" t="n">
        <v>11600</v>
      </c>
      <c r="G21" s="17" t="n">
        <v>12300</v>
      </c>
      <c r="H21" s="17" t="n">
        <v>12300</v>
      </c>
      <c r="I21" s="17" t="n">
        <v>12700</v>
      </c>
      <c r="J21" s="17" t="n">
        <v>13500</v>
      </c>
      <c r="K21" s="17" t="n">
        <v>13700</v>
      </c>
      <c r="L21" s="17" t="n">
        <v>13800</v>
      </c>
      <c r="M21" s="25" t="n">
        <f aca="false">INDEX('Trial Balance'!$E$9:$E$39,MATCH($A21,'Trial Balance'!$A$9:$A$39,0))</f>
        <v>14500</v>
      </c>
      <c r="N21" s="25" t="n">
        <f aca="false">INDEX('Trial Balance'!$D$9:$D$39,MATCH($A21,'Trial Balance'!$A$9:$A$39,0))</f>
        <v>22000</v>
      </c>
      <c r="O21" s="18" t="n">
        <f aca="false">SUM(C21:N21)</f>
        <v>158800</v>
      </c>
      <c r="P21" s="25" t="n">
        <f aca="false">INDEX('Trial Balance'!$F$9:$F$39,MATCH($A21,'Trial Balance'!$A$9:$A$39,0))</f>
        <v>10000</v>
      </c>
    </row>
    <row r="22" customFormat="false" ht="15" hidden="false" customHeight="false" outlineLevel="0" collapsed="false">
      <c r="A22" s="9" t="n">
        <v>6300</v>
      </c>
      <c r="B22" s="9" t="s">
        <v>113</v>
      </c>
      <c r="C22" s="17" t="n">
        <v>11000</v>
      </c>
      <c r="D22" s="17" t="n">
        <v>11000</v>
      </c>
      <c r="E22" s="17" t="n">
        <v>11300</v>
      </c>
      <c r="F22" s="17" t="n">
        <v>12000</v>
      </c>
      <c r="G22" s="17" t="n">
        <v>12100</v>
      </c>
      <c r="H22" s="17" t="n">
        <v>12200</v>
      </c>
      <c r="I22" s="17" t="n">
        <v>12900</v>
      </c>
      <c r="J22" s="17" t="n">
        <v>13200</v>
      </c>
      <c r="K22" s="17" t="n">
        <v>13100</v>
      </c>
      <c r="L22" s="17" t="n">
        <v>13700</v>
      </c>
      <c r="M22" s="25" t="n">
        <f aca="false">INDEX('Trial Balance'!$E$9:$E$39,MATCH($A22,'Trial Balance'!$A$9:$A$39,0))</f>
        <v>14000</v>
      </c>
      <c r="N22" s="25" t="n">
        <f aca="false">INDEX('Trial Balance'!$D$9:$D$39,MATCH($A22,'Trial Balance'!$A$9:$A$39,0))</f>
        <v>12000</v>
      </c>
      <c r="O22" s="18" t="n">
        <f aca="false">SUM(C22:N22)</f>
        <v>148500</v>
      </c>
      <c r="P22" s="25" t="n">
        <f aca="false">INDEX('Trial Balance'!$F$9:$F$39,MATCH($A22,'Trial Balance'!$A$9:$A$39,0))</f>
        <v>10500</v>
      </c>
    </row>
    <row r="23" customFormat="false" ht="15" hidden="false" customHeight="false" outlineLevel="0" collapsed="false">
      <c r="A23" s="9" t="n">
        <v>6400</v>
      </c>
      <c r="B23" s="9" t="s">
        <v>114</v>
      </c>
      <c r="C23" s="17" t="n">
        <v>8800</v>
      </c>
      <c r="D23" s="17" t="n">
        <v>8900</v>
      </c>
      <c r="E23" s="17" t="n">
        <v>9300</v>
      </c>
      <c r="F23" s="17" t="n">
        <v>9100</v>
      </c>
      <c r="G23" s="17" t="n">
        <v>9100</v>
      </c>
      <c r="H23" s="17" t="n">
        <v>9400</v>
      </c>
      <c r="I23" s="17" t="n">
        <v>9400</v>
      </c>
      <c r="J23" s="17" t="n">
        <v>9200</v>
      </c>
      <c r="K23" s="17" t="n">
        <v>9500</v>
      </c>
      <c r="L23" s="17" t="n">
        <v>9700</v>
      </c>
      <c r="M23" s="25" t="n">
        <f aca="false">INDEX('Trial Balance'!$E$9:$E$39,MATCH($A23,'Trial Balance'!$A$9:$A$39,0))</f>
        <v>9600</v>
      </c>
      <c r="N23" s="25" t="n">
        <f aca="false">INDEX('Trial Balance'!$D$9:$D$39,MATCH($A23,'Trial Balance'!$A$9:$A$39,0))</f>
        <v>21800</v>
      </c>
      <c r="O23" s="18" t="n">
        <f aca="false">SUM(C23:N23)</f>
        <v>123800</v>
      </c>
      <c r="P23" s="25" t="n">
        <f aca="false">INDEX('Trial Balance'!$F$9:$F$39,MATCH($A23,'Trial Balance'!$A$9:$A$39,0))</f>
        <v>8900</v>
      </c>
    </row>
    <row r="24" customFormat="false" ht="15" hidden="false" customHeight="false" outlineLevel="0" collapsed="false">
      <c r="A24" s="9" t="n">
        <v>6500</v>
      </c>
      <c r="B24" s="9" t="s">
        <v>115</v>
      </c>
      <c r="C24" s="17" t="n">
        <v>3800</v>
      </c>
      <c r="D24" s="17" t="n">
        <v>3800</v>
      </c>
      <c r="E24" s="17" t="n">
        <v>3800</v>
      </c>
      <c r="F24" s="17" t="n">
        <v>3800</v>
      </c>
      <c r="G24" s="17" t="n">
        <v>3800</v>
      </c>
      <c r="H24" s="17" t="n">
        <v>4200</v>
      </c>
      <c r="I24" s="17" t="n">
        <v>4200</v>
      </c>
      <c r="J24" s="17" t="n">
        <v>4200</v>
      </c>
      <c r="K24" s="17" t="n">
        <v>4200</v>
      </c>
      <c r="L24" s="17" t="n">
        <v>4200</v>
      </c>
      <c r="M24" s="25" t="n">
        <f aca="false">INDEX('Trial Balance'!$E$9:$E$39,MATCH($A24,'Trial Balance'!$A$9:$A$39,0))</f>
        <v>4200</v>
      </c>
      <c r="N24" s="25" t="n">
        <f aca="false">INDEX('Trial Balance'!$D$9:$D$39,MATCH($A24,'Trial Balance'!$A$9:$A$39,0))</f>
        <v>4200</v>
      </c>
      <c r="O24" s="18" t="n">
        <f aca="false">SUM(C24:N24)</f>
        <v>48400</v>
      </c>
      <c r="P24" s="25" t="n">
        <f aca="false">INDEX('Trial Balance'!$F$9:$F$39,MATCH($A24,'Trial Balance'!$A$9:$A$39,0))</f>
        <v>3800</v>
      </c>
    </row>
    <row r="25" customFormat="false" ht="15" hidden="false" customHeight="false" outlineLevel="0" collapsed="false">
      <c r="A25" s="9" t="n">
        <v>6600</v>
      </c>
      <c r="B25" s="9" t="s">
        <v>117</v>
      </c>
      <c r="C25" s="17" t="n">
        <v>4200</v>
      </c>
      <c r="D25" s="17" t="n">
        <v>4500</v>
      </c>
      <c r="E25" s="17" t="n">
        <v>4700</v>
      </c>
      <c r="F25" s="17" t="n">
        <v>4900</v>
      </c>
      <c r="G25" s="17" t="n">
        <v>5100</v>
      </c>
      <c r="H25" s="17" t="n">
        <v>5400</v>
      </c>
      <c r="I25" s="17" t="n">
        <v>5600</v>
      </c>
      <c r="J25" s="17" t="n">
        <v>5800</v>
      </c>
      <c r="K25" s="17" t="n">
        <v>6000</v>
      </c>
      <c r="L25" s="17" t="n">
        <v>6300</v>
      </c>
      <c r="M25" s="25" t="n">
        <f aca="false">INDEX('Trial Balance'!$E$9:$E$39,MATCH($A25,'Trial Balance'!$A$9:$A$39,0))</f>
        <v>6500</v>
      </c>
      <c r="N25" s="25" t="n">
        <f aca="false">INDEX('Trial Balance'!$D$9:$D$39,MATCH($A25,'Trial Balance'!$A$9:$A$39,0))</f>
        <v>6500</v>
      </c>
      <c r="O25" s="18" t="n">
        <f aca="false">SUM(C25:N25)</f>
        <v>65500</v>
      </c>
      <c r="P25" s="25" t="n">
        <f aca="false">INDEX('Trial Balance'!$F$9:$F$39,MATCH($A25,'Trial Balance'!$A$9:$A$39,0))</f>
        <v>4000</v>
      </c>
    </row>
    <row r="26" customFormat="false" ht="15" hidden="false" customHeight="false" outlineLevel="0" collapsed="false">
      <c r="A26" s="9" t="n">
        <v>6700</v>
      </c>
      <c r="B26" s="9" t="s">
        <v>119</v>
      </c>
      <c r="C26" s="17" t="n">
        <v>2100</v>
      </c>
      <c r="D26" s="17" t="n">
        <v>2200</v>
      </c>
      <c r="E26" s="17" t="n">
        <v>2300</v>
      </c>
      <c r="F26" s="17" t="n">
        <v>2400</v>
      </c>
      <c r="G26" s="17" t="n">
        <v>2500</v>
      </c>
      <c r="H26" s="17" t="n">
        <v>2500</v>
      </c>
      <c r="I26" s="17" t="n">
        <v>2600</v>
      </c>
      <c r="J26" s="17" t="n">
        <v>2700</v>
      </c>
      <c r="K26" s="17" t="n">
        <v>2800</v>
      </c>
      <c r="L26" s="17" t="n">
        <v>2900</v>
      </c>
      <c r="M26" s="25" t="n">
        <f aca="false">INDEX('Trial Balance'!$E$9:$E$39,MATCH($A26,'Trial Balance'!$A$9:$A$39,0))</f>
        <v>3000</v>
      </c>
      <c r="N26" s="25" t="n">
        <f aca="false">INDEX('Trial Balance'!$D$9:$D$39,MATCH($A26,'Trial Balance'!$A$9:$A$39,0))</f>
        <v>3000</v>
      </c>
      <c r="O26" s="18" t="n">
        <f aca="false">SUM(C26:N26)</f>
        <v>31000</v>
      </c>
      <c r="P26" s="25" t="n">
        <f aca="false">INDEX('Trial Balance'!$F$9:$F$39,MATCH($A26,'Trial Balance'!$A$9:$A$39,0))</f>
        <v>2000</v>
      </c>
    </row>
    <row r="27" customFormat="false" ht="15" hidden="false" customHeight="false" outlineLevel="0" collapsed="false">
      <c r="A27" s="21"/>
      <c r="B27" s="21" t="s">
        <v>164</v>
      </c>
      <c r="C27" s="22" t="n">
        <f aca="false">SUM(C19:C26)</f>
        <v>68700</v>
      </c>
      <c r="D27" s="22" t="n">
        <f aca="false">SUM(D19:D26)</f>
        <v>70100</v>
      </c>
      <c r="E27" s="22" t="n">
        <f aca="false">SUM(E19:E26)</f>
        <v>71500</v>
      </c>
      <c r="F27" s="22" t="n">
        <f aca="false">SUM(F19:F26)</f>
        <v>74200</v>
      </c>
      <c r="G27" s="22" t="n">
        <f aca="false">SUM(G19:G26)</f>
        <v>75700</v>
      </c>
      <c r="H27" s="22" t="n">
        <f aca="false">SUM(H19:H26)</f>
        <v>77300</v>
      </c>
      <c r="I27" s="22" t="n">
        <f aca="false">SUM(I19:I26)</f>
        <v>78500</v>
      </c>
      <c r="J27" s="22" t="n">
        <f aca="false">SUM(J19:J26)</f>
        <v>79900</v>
      </c>
      <c r="K27" s="22" t="n">
        <f aca="false">SUM(K19:K26)</f>
        <v>81200</v>
      </c>
      <c r="L27" s="22" t="n">
        <f aca="false">SUM(L19:L26)</f>
        <v>82500</v>
      </c>
      <c r="M27" s="22" t="n">
        <f aca="false">SUM(M19:M26)</f>
        <v>83900</v>
      </c>
      <c r="N27" s="22" t="n">
        <f aca="false">SUM(N19:N26)</f>
        <v>102000</v>
      </c>
      <c r="O27" s="22" t="n">
        <f aca="false">SUM(O19:O26)</f>
        <v>945500</v>
      </c>
      <c r="P27" s="22" t="n">
        <f aca="false">SUM(P19:P26)</f>
        <v>67500</v>
      </c>
    </row>
    <row r="28" customFormat="false" ht="15" hidden="false" customHeight="false" outlineLevel="0" collapsed="false">
      <c r="A28" s="21"/>
      <c r="B28" s="21" t="s">
        <v>165</v>
      </c>
      <c r="C28" s="22" t="n">
        <f aca="false">C16-C27</f>
        <v>65000</v>
      </c>
      <c r="D28" s="22" t="n">
        <f aca="false">D16-D27</f>
        <v>67900</v>
      </c>
      <c r="E28" s="22" t="n">
        <f aca="false">E16-E27</f>
        <v>64900</v>
      </c>
      <c r="F28" s="22" t="n">
        <f aca="false">F16-F27</f>
        <v>68600</v>
      </c>
      <c r="G28" s="22" t="n">
        <f aca="false">G16-G27</f>
        <v>74200</v>
      </c>
      <c r="H28" s="22" t="n">
        <f aca="false">H16-H27</f>
        <v>71200</v>
      </c>
      <c r="I28" s="22" t="n">
        <f aca="false">I16-I27</f>
        <v>73400</v>
      </c>
      <c r="J28" s="22" t="n">
        <f aca="false">J16-J27</f>
        <v>80900</v>
      </c>
      <c r="K28" s="22" t="n">
        <f aca="false">K16-K27</f>
        <v>79900</v>
      </c>
      <c r="L28" s="22" t="n">
        <f aca="false">L16-L27</f>
        <v>79200</v>
      </c>
      <c r="M28" s="22" t="n">
        <f aca="false">M16-M27</f>
        <v>84600</v>
      </c>
      <c r="N28" s="22" t="n">
        <f aca="false">N16-N27</f>
        <v>56000</v>
      </c>
      <c r="O28" s="22" t="n">
        <f aca="false">O16-O27</f>
        <v>865800</v>
      </c>
      <c r="P28" s="22" t="n">
        <f aca="false">P16-P27</f>
        <v>61000</v>
      </c>
    </row>
    <row r="29" customFormat="false" ht="15" hidden="false" customHeight="false" outlineLevel="0" collapsed="false">
      <c r="A29" s="9" t="n">
        <v>7000</v>
      </c>
      <c r="B29" s="9" t="s">
        <v>121</v>
      </c>
      <c r="C29" s="17" t="n">
        <v>3100</v>
      </c>
      <c r="D29" s="17" t="n">
        <v>3000</v>
      </c>
      <c r="E29" s="17" t="n">
        <v>3000</v>
      </c>
      <c r="F29" s="17" t="n">
        <v>3000</v>
      </c>
      <c r="G29" s="17" t="n">
        <v>3000</v>
      </c>
      <c r="H29" s="17" t="n">
        <v>2900</v>
      </c>
      <c r="I29" s="17" t="n">
        <v>2900</v>
      </c>
      <c r="J29" s="17" t="n">
        <v>2900</v>
      </c>
      <c r="K29" s="17" t="n">
        <v>2900</v>
      </c>
      <c r="L29" s="17" t="n">
        <v>2800</v>
      </c>
      <c r="M29" s="25" t="n">
        <f aca="false">INDEX('Trial Balance'!$E$9:$E$39,MATCH($A29,'Trial Balance'!$A$9:$A$39,0))</f>
        <v>2800</v>
      </c>
      <c r="N29" s="25" t="n">
        <f aca="false">INDEX('Trial Balance'!$D$9:$D$39,MATCH($A29,'Trial Balance'!$A$9:$A$39,0))</f>
        <v>2800</v>
      </c>
      <c r="O29" s="18" t="n">
        <f aca="false">SUM(C29:N29)</f>
        <v>35100</v>
      </c>
      <c r="P29" s="25" t="n">
        <f aca="false">INDEX('Trial Balance'!$F$9:$F$39,MATCH($A29,'Trial Balance'!$A$9:$A$39,0))</f>
        <v>3100</v>
      </c>
    </row>
    <row r="30" customFormat="false" ht="15" hidden="false" customHeight="false" outlineLevel="0" collapsed="false">
      <c r="A30" s="21"/>
      <c r="B30" s="21" t="s">
        <v>166</v>
      </c>
      <c r="C30" s="22" t="n">
        <f aca="false">C28-C29</f>
        <v>61900</v>
      </c>
      <c r="D30" s="22" t="n">
        <f aca="false">D28-D29</f>
        <v>64900</v>
      </c>
      <c r="E30" s="22" t="n">
        <f aca="false">E28-E29</f>
        <v>61900</v>
      </c>
      <c r="F30" s="22" t="n">
        <f aca="false">F28-F29</f>
        <v>65600</v>
      </c>
      <c r="G30" s="22" t="n">
        <f aca="false">G28-G29</f>
        <v>71200</v>
      </c>
      <c r="H30" s="22" t="n">
        <f aca="false">H28-H29</f>
        <v>68300</v>
      </c>
      <c r="I30" s="22" t="n">
        <f aca="false">I28-I29</f>
        <v>70500</v>
      </c>
      <c r="J30" s="22" t="n">
        <f aca="false">J28-J29</f>
        <v>78000</v>
      </c>
      <c r="K30" s="22" t="n">
        <f aca="false">K28-K29</f>
        <v>77000</v>
      </c>
      <c r="L30" s="22" t="n">
        <f aca="false">L28-L29</f>
        <v>76400</v>
      </c>
      <c r="M30" s="22" t="n">
        <f aca="false">M28-M29</f>
        <v>81800</v>
      </c>
      <c r="N30" s="22" t="n">
        <f aca="false">N28-N29</f>
        <v>53200</v>
      </c>
      <c r="O30" s="22" t="n">
        <f aca="false">O28-O29</f>
        <v>830700</v>
      </c>
      <c r="P30" s="22" t="n">
        <f aca="false">P28-P29</f>
        <v>57900</v>
      </c>
    </row>
    <row r="32" customFormat="false" ht="15" hidden="false" customHeight="false" outlineLevel="0" collapsed="false">
      <c r="A32" s="2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6" min="4" style="0" width="12"/>
    <col collapsed="false" customWidth="true" hidden="false" outlineLevel="0" max="7" min="7" style="0" width="11"/>
    <col collapsed="false" customWidth="true" hidden="false" outlineLevel="0" max="10" min="8" style="0" width="13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13"/>
  </cols>
  <sheetData>
    <row r="1" customFormat="false" ht="17.35" hidden="false" customHeight="false" outlineLevel="0" collapsed="false">
      <c r="A1" s="1" t="s">
        <v>168</v>
      </c>
    </row>
    <row r="2" customFormat="false" ht="15" hidden="false" customHeight="false" outlineLevel="0" collapsed="false">
      <c r="A2" s="2" t="s">
        <v>169</v>
      </c>
    </row>
    <row r="4" customFormat="false" ht="15" hidden="false" customHeight="false" outlineLevel="0" collapsed="false">
      <c r="B4" s="4" t="s">
        <v>170</v>
      </c>
      <c r="C4" s="15" t="n">
        <v>0.02</v>
      </c>
    </row>
    <row r="5" customFormat="false" ht="15" hidden="false" customHeight="false" outlineLevel="0" collapsed="false">
      <c r="B5" s="4" t="s">
        <v>171</v>
      </c>
      <c r="C5" s="15" t="n">
        <v>0.1</v>
      </c>
    </row>
    <row r="6" customFormat="false" ht="15" hidden="false" customHeight="false" outlineLevel="0" collapsed="false">
      <c r="B6" s="4" t="s">
        <v>172</v>
      </c>
      <c r="C6" s="16" t="n">
        <v>5000</v>
      </c>
    </row>
    <row r="8" customFormat="false" ht="15" hidden="false" customHeight="false" outlineLevel="0" collapsed="false">
      <c r="D8" s="24" t="s">
        <v>9</v>
      </c>
      <c r="E8" s="23"/>
      <c r="F8" s="23"/>
      <c r="G8" s="23"/>
      <c r="H8" s="23"/>
      <c r="I8" s="24" t="s">
        <v>173</v>
      </c>
      <c r="J8" s="23"/>
      <c r="K8" s="23"/>
      <c r="L8" s="23"/>
      <c r="M8" s="23"/>
    </row>
    <row r="9" customFormat="false" ht="30" hidden="false" customHeight="true" outlineLevel="0" collapsed="false">
      <c r="A9" s="6" t="s">
        <v>147</v>
      </c>
      <c r="B9" s="6" t="s">
        <v>148</v>
      </c>
      <c r="C9" s="6" t="s">
        <v>130</v>
      </c>
      <c r="D9" s="6" t="s">
        <v>174</v>
      </c>
      <c r="E9" s="6" t="s">
        <v>175</v>
      </c>
      <c r="F9" s="6" t="s">
        <v>176</v>
      </c>
      <c r="G9" s="6" t="s">
        <v>177</v>
      </c>
      <c r="H9" s="6" t="s">
        <v>178</v>
      </c>
      <c r="I9" s="6" t="s">
        <v>174</v>
      </c>
      <c r="J9" s="6" t="s">
        <v>175</v>
      </c>
      <c r="K9" s="6" t="s">
        <v>176</v>
      </c>
      <c r="L9" s="6" t="s">
        <v>177</v>
      </c>
      <c r="M9" s="6" t="s">
        <v>178</v>
      </c>
    </row>
    <row r="10" customFormat="false" ht="15" hidden="false" customHeight="false" outlineLevel="0" collapsed="false">
      <c r="A10" s="9" t="n">
        <v>4000</v>
      </c>
      <c r="B10" s="9" t="s">
        <v>97</v>
      </c>
      <c r="C10" s="9" t="s">
        <v>98</v>
      </c>
      <c r="D10" s="25" t="n">
        <f aca="false">-INDEX('Trial Balance'!$D$9:$D$39,MATCH($A10,'Trial Balance'!$A$9:$A$39,0))</f>
        <v>154000</v>
      </c>
      <c r="E10" s="17" t="n">
        <v>150000</v>
      </c>
      <c r="F10" s="18" t="n">
        <f aca="false">D10-E10</f>
        <v>4000</v>
      </c>
      <c r="G10" s="19" t="n">
        <f aca="false">IF(E10=0,0,F10/ABS(E10))</f>
        <v>0.0266666666666667</v>
      </c>
      <c r="H10" s="4" t="str">
        <f aca="false">IF(ABS(G10)&lt;$C$4,"On budget",IF(OR(AND($C10="Revenue",F10&gt;0),AND($C10="Expense",F10&lt;0)),"Favorable","Unfavorable"))</f>
        <v>Favorable</v>
      </c>
      <c r="I10" s="25" t="n">
        <f aca="false">SUM('12 Month P&amp;L'!F6:N6)</f>
        <v>1274100</v>
      </c>
      <c r="J10" s="17" t="n">
        <v>1300000</v>
      </c>
      <c r="K10" s="18" t="n">
        <f aca="false">I10-J10</f>
        <v>-25900</v>
      </c>
      <c r="L10" s="19" t="n">
        <f aca="false">IF(J10=0,0,K10/ABS(J10))</f>
        <v>-0.0199230769230769</v>
      </c>
      <c r="M10" s="4" t="str">
        <f aca="false">IF(ABS(L10)&lt;$C$4,"On budget",IF(OR(AND($C10="Revenue",K10&gt;0),AND($C10="Expense",K10&lt;0)),"Favorable","Unfavorable"))</f>
        <v>On budget</v>
      </c>
    </row>
    <row r="11" customFormat="false" ht="15" hidden="false" customHeight="false" outlineLevel="0" collapsed="false">
      <c r="A11" s="9" t="n">
        <v>4100</v>
      </c>
      <c r="B11" s="9" t="s">
        <v>100</v>
      </c>
      <c r="C11" s="9" t="s">
        <v>98</v>
      </c>
      <c r="D11" s="25" t="n">
        <f aca="false">-INDEX('Trial Balance'!$D$9:$D$39,MATCH($A11,'Trial Balance'!$A$9:$A$39,0))</f>
        <v>144000</v>
      </c>
      <c r="E11" s="17" t="n">
        <v>148000</v>
      </c>
      <c r="F11" s="18" t="n">
        <f aca="false">D11-E11</f>
        <v>-4000</v>
      </c>
      <c r="G11" s="19" t="n">
        <f aca="false">IF(E11=0,0,F11/ABS(E11))</f>
        <v>-0.027027027027027</v>
      </c>
      <c r="H11" s="4" t="str">
        <f aca="false">IF(ABS(G11)&lt;$C$4,"On budget",IF(OR(AND($C11="Revenue",F11&gt;0),AND($C11="Expense",F11&lt;0)),"Favorable","Unfavorable"))</f>
        <v>Unfavorable</v>
      </c>
      <c r="I11" s="25" t="n">
        <f aca="false">SUM('12 Month P&amp;L'!F7:N7)</f>
        <v>1192000</v>
      </c>
      <c r="J11" s="17" t="n">
        <v>1228000</v>
      </c>
      <c r="K11" s="18" t="n">
        <f aca="false">I11-J11</f>
        <v>-36000</v>
      </c>
      <c r="L11" s="19" t="n">
        <f aca="false">IF(J11=0,0,K11/ABS(J11))</f>
        <v>-0.0293159609120521</v>
      </c>
      <c r="M11" s="4" t="str">
        <f aca="false">IF(ABS(L11)&lt;$C$4,"On budget",IF(OR(AND($C11="Revenue",K11&gt;0),AND($C11="Expense",K11&lt;0)),"Favorable","Unfavorable"))</f>
        <v>Unfavorable</v>
      </c>
    </row>
    <row r="12" customFormat="false" ht="15" hidden="false" customHeight="false" outlineLevel="0" collapsed="false">
      <c r="A12" s="9" t="n">
        <v>4200</v>
      </c>
      <c r="B12" s="9" t="s">
        <v>101</v>
      </c>
      <c r="C12" s="9" t="s">
        <v>98</v>
      </c>
      <c r="D12" s="25" t="n">
        <f aca="false">-INDEX('Trial Balance'!$D$9:$D$39,MATCH($A12,'Trial Balance'!$A$9:$A$39,0))</f>
        <v>70000</v>
      </c>
      <c r="E12" s="17" t="n">
        <v>69000</v>
      </c>
      <c r="F12" s="18" t="n">
        <f aca="false">D12-E12</f>
        <v>1000</v>
      </c>
      <c r="G12" s="19" t="n">
        <f aca="false">IF(E12=0,0,F12/ABS(E12))</f>
        <v>0.0144927536231884</v>
      </c>
      <c r="H12" s="4" t="str">
        <f aca="false">IF(ABS(G12)&lt;$C$4,"On budget",IF(OR(AND($C12="Revenue",F12&gt;0),AND($C12="Expense",F12&lt;0)),"Favorable","Unfavorable"))</f>
        <v>On budget</v>
      </c>
      <c r="I12" s="25" t="n">
        <f aca="false">SUM('12 Month P&amp;L'!F8:N8)</f>
        <v>579000</v>
      </c>
      <c r="J12" s="17" t="n">
        <v>585000</v>
      </c>
      <c r="K12" s="18" t="n">
        <f aca="false">I12-J12</f>
        <v>-6000</v>
      </c>
      <c r="L12" s="19" t="n">
        <f aca="false">IF(J12=0,0,K12/ABS(J12))</f>
        <v>-0.0102564102564103</v>
      </c>
      <c r="M12" s="4" t="str">
        <f aca="false">IF(ABS(L12)&lt;$C$4,"On budget",IF(OR(AND($C12="Revenue",K12&gt;0),AND($C12="Expense",K12&lt;0)),"Favorable","Unfavorable"))</f>
        <v>On budget</v>
      </c>
    </row>
    <row r="13" customFormat="false" ht="15" hidden="false" customHeight="false" outlineLevel="0" collapsed="false">
      <c r="A13" s="9" t="n">
        <v>4300</v>
      </c>
      <c r="B13" s="9" t="s">
        <v>102</v>
      </c>
      <c r="C13" s="9" t="s">
        <v>98</v>
      </c>
      <c r="D13" s="25" t="n">
        <f aca="false">-INDEX('Trial Balance'!$D$9:$D$39,MATCH($A13,'Trial Balance'!$A$9:$A$39,0))</f>
        <v>20000</v>
      </c>
      <c r="E13" s="17" t="n">
        <v>28000</v>
      </c>
      <c r="F13" s="18" t="n">
        <f aca="false">D13-E13</f>
        <v>-8000</v>
      </c>
      <c r="G13" s="19" t="n">
        <f aca="false">IF(E13=0,0,F13/ABS(E13))</f>
        <v>-0.285714285714286</v>
      </c>
      <c r="H13" s="4" t="str">
        <f aca="false">IF(ABS(G13)&lt;$C$4,"On budget",IF(OR(AND($C13="Revenue",F13&gt;0),AND($C13="Expense",F13&lt;0)),"Favorable","Unfavorable"))</f>
        <v>Unfavorable</v>
      </c>
      <c r="I13" s="25" t="n">
        <f aca="false">SUM('12 Month P&amp;L'!F9:N9)</f>
        <v>175600</v>
      </c>
      <c r="J13" s="17" t="n">
        <v>202000</v>
      </c>
      <c r="K13" s="18" t="n">
        <f aca="false">I13-J13</f>
        <v>-26400</v>
      </c>
      <c r="L13" s="19" t="n">
        <f aca="false">IF(J13=0,0,K13/ABS(J13))</f>
        <v>-0.130693069306931</v>
      </c>
      <c r="M13" s="4" t="str">
        <f aca="false">IF(ABS(L13)&lt;$C$4,"On budget",IF(OR(AND($C13="Revenue",K13&gt;0),AND($C13="Expense",K13&lt;0)),"Favorable","Unfavorable"))</f>
        <v>Unfavorable</v>
      </c>
    </row>
    <row r="14" customFormat="false" ht="15" hidden="false" customHeight="false" outlineLevel="0" collapsed="false">
      <c r="A14" s="21"/>
      <c r="B14" s="21" t="s">
        <v>160</v>
      </c>
      <c r="C14" s="21" t="s">
        <v>98</v>
      </c>
      <c r="D14" s="22" t="n">
        <f aca="false">SUM(D10:D13)</f>
        <v>388000</v>
      </c>
      <c r="E14" s="22" t="n">
        <f aca="false">SUM(E10:E13)</f>
        <v>395000</v>
      </c>
      <c r="F14" s="22" t="n">
        <f aca="false">D14-E14</f>
        <v>-7000</v>
      </c>
      <c r="G14" s="26" t="n">
        <f aca="false">IF(E14=0,0,F14/ABS(E14))</f>
        <v>-0.0177215189873418</v>
      </c>
      <c r="H14" s="21" t="str">
        <f aca="false">IF(ABS(G14)&lt;$C$4,"On budget",IF(OR(AND($C14="Revenue",F14&gt;0),AND($C14="Expense",F14&lt;0)),"Favorable","Unfavorable"))</f>
        <v>On budget</v>
      </c>
      <c r="I14" s="22" t="n">
        <f aca="false">SUM(I10:I13)</f>
        <v>3220700</v>
      </c>
      <c r="J14" s="22" t="n">
        <f aca="false">SUM(J10:J13)</f>
        <v>3315000</v>
      </c>
      <c r="K14" s="22" t="n">
        <f aca="false">I14-J14</f>
        <v>-94300</v>
      </c>
      <c r="L14" s="26" t="n">
        <f aca="false">IF(J14=0,0,K14/ABS(J14))</f>
        <v>-0.028446455505279</v>
      </c>
      <c r="M14" s="21" t="str">
        <f aca="false">IF(ABS(L14)&lt;$C$4,"On budget",IF(OR(AND($C14="Revenue",K14&gt;0),AND($C14="Expense",K14&lt;0)),"Favorable","Unfavorable"))</f>
        <v>Unfavorable</v>
      </c>
    </row>
    <row r="15" customFormat="false" ht="15" hidden="false" customHeight="false" outlineLevel="0" collapsed="false">
      <c r="A15" s="9" t="n">
        <v>6000</v>
      </c>
      <c r="B15" s="9" t="s">
        <v>109</v>
      </c>
      <c r="C15" s="9" t="s">
        <v>179</v>
      </c>
      <c r="D15" s="25" t="n">
        <f aca="false">INDEX('Trial Balance'!$D$9:$D$39,MATCH($A15,'Trial Balance'!$A$9:$A$39,0))</f>
        <v>18000</v>
      </c>
      <c r="E15" s="17" t="n">
        <v>18000</v>
      </c>
      <c r="F15" s="18" t="n">
        <f aca="false">D15-E15</f>
        <v>0</v>
      </c>
      <c r="G15" s="19" t="n">
        <f aca="false">IF(E15=0,0,F15/ABS(E15))</f>
        <v>0</v>
      </c>
      <c r="H15" s="4" t="str">
        <f aca="false">IF(ABS(G15)&lt;$C$4,"On budget",IF(OR(AND($C15="Revenue",F15&gt;0),AND($C15="Expense",F15&lt;0)),"Favorable","Unfavorable"))</f>
        <v>On budget</v>
      </c>
      <c r="I15" s="25" t="n">
        <f aca="false">SUM('12 Month P&amp;L'!F19:N19)</f>
        <v>162000</v>
      </c>
      <c r="J15" s="17" t="n">
        <v>162000</v>
      </c>
      <c r="K15" s="18" t="n">
        <f aca="false">I15-J15</f>
        <v>0</v>
      </c>
      <c r="L15" s="19" t="n">
        <f aca="false">IF(J15=0,0,K15/ABS(J15))</f>
        <v>0</v>
      </c>
      <c r="M15" s="4" t="str">
        <f aca="false">IF(ABS(L15)&lt;$C$4,"On budget",IF(OR(AND($C15="Revenue",K15&gt;0),AND($C15="Expense",K15&lt;0)),"Favorable","Unfavorable"))</f>
        <v>On budget</v>
      </c>
    </row>
    <row r="16" customFormat="false" ht="15" hidden="false" customHeight="false" outlineLevel="0" collapsed="false">
      <c r="A16" s="9" t="n">
        <v>6200</v>
      </c>
      <c r="B16" s="9" t="s">
        <v>112</v>
      </c>
      <c r="C16" s="9" t="s">
        <v>179</v>
      </c>
      <c r="D16" s="25" t="n">
        <f aca="false">INDEX('Trial Balance'!$D$9:$D$39,MATCH($A16,'Trial Balance'!$A$9:$A$39,0))</f>
        <v>22000</v>
      </c>
      <c r="E16" s="17" t="n">
        <v>14000</v>
      </c>
      <c r="F16" s="18" t="n">
        <f aca="false">D16-E16</f>
        <v>8000</v>
      </c>
      <c r="G16" s="19" t="n">
        <f aca="false">IF(E16=0,0,F16/ABS(E16))</f>
        <v>0.571428571428571</v>
      </c>
      <c r="H16" s="4" t="str">
        <f aca="false">IF(ABS(G16)&lt;$C$4,"On budget",IF(OR(AND($C16="Revenue",F16&gt;0),AND($C16="Expense",F16&lt;0)),"Favorable","Unfavorable"))</f>
        <v>Unfavorable</v>
      </c>
      <c r="I16" s="25" t="n">
        <f aca="false">SUM('12 Month P&amp;L'!F21:N21)</f>
        <v>126400</v>
      </c>
      <c r="J16" s="17" t="n">
        <v>116000</v>
      </c>
      <c r="K16" s="18" t="n">
        <f aca="false">I16-J16</f>
        <v>10400</v>
      </c>
      <c r="L16" s="19" t="n">
        <f aca="false">IF(J16=0,0,K16/ABS(J16))</f>
        <v>0.0896551724137931</v>
      </c>
      <c r="M16" s="4" t="str">
        <f aca="false">IF(ABS(L16)&lt;$C$4,"On budget",IF(OR(AND($C16="Revenue",K16&gt;0),AND($C16="Expense",K16&lt;0)),"Favorable","Unfavorable"))</f>
        <v>Unfavorable</v>
      </c>
    </row>
    <row r="17" customFormat="false" ht="15" hidden="false" customHeight="false" outlineLevel="0" collapsed="false">
      <c r="A17" s="9" t="n">
        <v>6400</v>
      </c>
      <c r="B17" s="9" t="s">
        <v>114</v>
      </c>
      <c r="C17" s="9" t="s">
        <v>179</v>
      </c>
      <c r="D17" s="25" t="n">
        <f aca="false">INDEX('Trial Balance'!$D$9:$D$39,MATCH($A17,'Trial Balance'!$A$9:$A$39,0))</f>
        <v>21800</v>
      </c>
      <c r="E17" s="17" t="n">
        <v>12000</v>
      </c>
      <c r="F17" s="18" t="n">
        <f aca="false">D17-E17</f>
        <v>9800</v>
      </c>
      <c r="G17" s="19" t="n">
        <f aca="false">IF(E17=0,0,F17/ABS(E17))</f>
        <v>0.816666666666667</v>
      </c>
      <c r="H17" s="4" t="str">
        <f aca="false">IF(ABS(G17)&lt;$C$4,"On budget",IF(OR(AND($C17="Revenue",F17&gt;0),AND($C17="Expense",F17&lt;0)),"Favorable","Unfavorable"))</f>
        <v>Unfavorable</v>
      </c>
      <c r="I17" s="25" t="n">
        <f aca="false">SUM('12 Month P&amp;L'!F23:N23)</f>
        <v>96800</v>
      </c>
      <c r="J17" s="17" t="n">
        <v>85000</v>
      </c>
      <c r="K17" s="18" t="n">
        <f aca="false">I17-J17</f>
        <v>11800</v>
      </c>
      <c r="L17" s="19" t="n">
        <f aca="false">IF(J17=0,0,K17/ABS(J17))</f>
        <v>0.138823529411765</v>
      </c>
      <c r="M17" s="4" t="str">
        <f aca="false">IF(ABS(L17)&lt;$C$4,"On budget",IF(OR(AND($C17="Revenue",K17&gt;0),AND($C17="Expense",K17&lt;0)),"Favorable","Unfavorable"))</f>
        <v>Unfavorable</v>
      </c>
    </row>
    <row r="18" customFormat="false" ht="15" hidden="false" customHeight="false" outlineLevel="0" collapsed="false">
      <c r="A18" s="21"/>
      <c r="B18" s="21" t="s">
        <v>180</v>
      </c>
      <c r="C18" s="21" t="s">
        <v>179</v>
      </c>
      <c r="D18" s="22" t="n">
        <f aca="false">SUM(D15:D17)</f>
        <v>61800</v>
      </c>
      <c r="E18" s="22" t="n">
        <f aca="false">SUM(E15:E17)</f>
        <v>44000</v>
      </c>
      <c r="F18" s="22" t="n">
        <f aca="false">D18-E18</f>
        <v>17800</v>
      </c>
      <c r="G18" s="26" t="n">
        <f aca="false">IF(E18=0,0,F18/ABS(E18))</f>
        <v>0.404545454545455</v>
      </c>
      <c r="H18" s="21" t="str">
        <f aca="false">IF(ABS(G18)&lt;$C$4,"On budget",IF(OR(AND($C18="Revenue",F18&gt;0),AND($C18="Expense",F18&lt;0)),"Favorable","Unfavorable"))</f>
        <v>Unfavorable</v>
      </c>
      <c r="I18" s="22" t="n">
        <f aca="false">SUM(I15:I17)</f>
        <v>385200</v>
      </c>
      <c r="J18" s="22" t="n">
        <f aca="false">SUM(J15:J17)</f>
        <v>363000</v>
      </c>
      <c r="K18" s="22" t="n">
        <f aca="false">I18-J18</f>
        <v>22200</v>
      </c>
      <c r="L18" s="26" t="n">
        <f aca="false">IF(J18=0,0,K18/ABS(J18))</f>
        <v>0.0611570247933884</v>
      </c>
      <c r="M18" s="21" t="str">
        <f aca="false">IF(ABS(L18)&lt;$C$4,"On budget",IF(OR(AND($C18="Revenue",K18&gt;0),AND($C18="Expense",K18&lt;0)),"Favorable","Unfavorable"))</f>
        <v>Unfavorable</v>
      </c>
    </row>
    <row r="20" customFormat="false" ht="15" hidden="false" customHeight="false" outlineLevel="0" collapsed="false">
      <c r="A20" s="2" t="s">
        <v>181</v>
      </c>
    </row>
  </sheetData>
  <conditionalFormatting sqref="F10:G18">
    <cfRule type="expression" priority="2" aboveAverage="0" equalAverage="0" bottom="0" percent="0" rank="0" text="" dxfId="0">
      <formula>AND(ABS($G10)&gt;=$C$5,ABS($F10)&gt;=$C$6)</formula>
    </cfRule>
  </conditionalFormatting>
  <conditionalFormatting sqref="K10:L18">
    <cfRule type="expression" priority="3" aboveAverage="0" equalAverage="0" bottom="0" percent="0" rank="0" text="" dxfId="0">
      <formula>AND(ABS($L10)&gt;=$C$5,ABS($K10)&gt;=$C$6)</formula>
    </cfRule>
  </conditionalFormatting>
  <conditionalFormatting sqref="H10:H18">
    <cfRule type="expression" priority="4" aboveAverage="0" equalAverage="0" bottom="0" percent="0" rank="0" text="" dxfId="1">
      <formula>H10="Favorable"</formula>
    </cfRule>
    <cfRule type="expression" priority="5" aboveAverage="0" equalAverage="0" bottom="0" percent="0" rank="0" text="" dxfId="2">
      <formula>H10="Unfavorable"</formula>
    </cfRule>
  </conditionalFormatting>
  <conditionalFormatting sqref="M10:M18">
    <cfRule type="expression" priority="6" aboveAverage="0" equalAverage="0" bottom="0" percent="0" rank="0" text="" dxfId="1">
      <formula>M10="Favorable"</formula>
    </cfRule>
    <cfRule type="expression" priority="7" aboveAverage="0" equalAverage="0" bottom="0" percent="0" rank="0" text="" dxfId="2">
      <formula>M10="Unfavorable"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182</v>
      </c>
    </row>
    <row r="2" customFormat="false" ht="15" hidden="false" customHeight="false" outlineLevel="0" collapsed="false">
      <c r="A2" s="2" t="s">
        <v>183</v>
      </c>
    </row>
    <row r="4" customFormat="false" ht="15" hidden="false" customHeight="false" outlineLevel="0" collapsed="false">
      <c r="A4" s="4" t="s">
        <v>184</v>
      </c>
      <c r="B4" s="27" t="n">
        <v>46295</v>
      </c>
    </row>
    <row r="6" customFormat="false" ht="15" hidden="false" customHeight="false" outlineLevel="0" collapsed="false">
      <c r="A6" s="24" t="s">
        <v>185</v>
      </c>
      <c r="B6" s="28" t="s">
        <v>186</v>
      </c>
      <c r="C6" s="28" t="s">
        <v>187</v>
      </c>
      <c r="D6" s="28" t="s">
        <v>188</v>
      </c>
      <c r="E6" s="28" t="s">
        <v>189</v>
      </c>
      <c r="F6" s="28" t="s">
        <v>190</v>
      </c>
      <c r="G6" s="28" t="s">
        <v>191</v>
      </c>
    </row>
    <row r="7" customFormat="false" ht="15" hidden="false" customHeight="false" outlineLevel="0" collapsed="false">
      <c r="A7" s="4" t="s">
        <v>192</v>
      </c>
      <c r="B7" s="18" t="n">
        <f aca="false">SUMIFS($H$13:$H$26,$J$13:$J$26,B$6)</f>
        <v>140500</v>
      </c>
      <c r="C7" s="18" t="n">
        <f aca="false">SUMIFS($H$13:$H$26,$J$13:$J$26,C$6)</f>
        <v>115100</v>
      </c>
      <c r="D7" s="18" t="n">
        <f aca="false">SUMIFS($H$13:$H$26,$J$13:$J$26,D$6)</f>
        <v>99100</v>
      </c>
      <c r="E7" s="18" t="n">
        <f aca="false">SUMIFS($H$13:$H$26,$J$13:$J$26,E$6)</f>
        <v>22600</v>
      </c>
      <c r="F7" s="18" t="n">
        <f aca="false">SUMIFS($H$13:$H$26,$J$13:$J$26,F$6)</f>
        <v>31900</v>
      </c>
      <c r="G7" s="29" t="n">
        <f aca="false">SUM(B7:F7)</f>
        <v>409200</v>
      </c>
    </row>
    <row r="8" customFormat="false" ht="15" hidden="false" customHeight="false" outlineLevel="0" collapsed="false">
      <c r="A8" s="4" t="s">
        <v>193</v>
      </c>
      <c r="B8" s="18" t="n">
        <f aca="false">COUNTIFS($J$13:$J$26,B$6)</f>
        <v>5</v>
      </c>
      <c r="C8" s="18" t="n">
        <f aca="false">COUNTIFS($J$13:$J$26,C$6)</f>
        <v>4</v>
      </c>
      <c r="D8" s="18" t="n">
        <f aca="false">COUNTIFS($J$13:$J$26,D$6)</f>
        <v>3</v>
      </c>
      <c r="E8" s="18" t="n">
        <f aca="false">COUNTIFS($J$13:$J$26,E$6)</f>
        <v>1</v>
      </c>
      <c r="F8" s="18" t="n">
        <f aca="false">COUNTIFS($J$13:$J$26,F$6)</f>
        <v>1</v>
      </c>
      <c r="G8" s="29" t="n">
        <f aca="false">SUM(B8:F8)</f>
        <v>14</v>
      </c>
    </row>
    <row r="12" customFormat="false" ht="30" hidden="false" customHeight="true" outlineLevel="0" collapsed="false">
      <c r="A12" s="6" t="s">
        <v>194</v>
      </c>
      <c r="B12" s="6" t="s">
        <v>195</v>
      </c>
      <c r="C12" s="6" t="s">
        <v>196</v>
      </c>
      <c r="D12" s="6" t="s">
        <v>197</v>
      </c>
      <c r="E12" s="6" t="s">
        <v>198</v>
      </c>
      <c r="F12" s="6" t="s">
        <v>199</v>
      </c>
      <c r="G12" s="6" t="s">
        <v>200</v>
      </c>
      <c r="H12" s="6" t="s">
        <v>192</v>
      </c>
      <c r="I12" s="6" t="s">
        <v>201</v>
      </c>
      <c r="J12" s="6" t="s">
        <v>202</v>
      </c>
    </row>
    <row r="13" customFormat="false" ht="15" hidden="false" customHeight="false" outlineLevel="0" collapsed="false">
      <c r="A13" s="9" t="s">
        <v>203</v>
      </c>
      <c r="B13" s="9" t="s">
        <v>204</v>
      </c>
      <c r="C13" s="9" t="s">
        <v>205</v>
      </c>
      <c r="D13" s="30" t="n">
        <v>46279</v>
      </c>
      <c r="E13" s="31" t="n">
        <v>30</v>
      </c>
      <c r="F13" s="32" t="n">
        <f aca="false">D13+E13</f>
        <v>46309</v>
      </c>
      <c r="G13" s="30" t="n">
        <v>46273</v>
      </c>
      <c r="H13" s="17" t="n">
        <v>48000</v>
      </c>
      <c r="I13" s="7" t="n">
        <f aca="false">MAX(0,$B$4-F13)</f>
        <v>0</v>
      </c>
      <c r="J13" s="4" t="str">
        <f aca="false">IF(I13=0,"Current",IF(I13&lt;=30,"1 to 30",IF(I13&lt;=60,"31 to 60",IF(I13&lt;=90,"61 to 90","90 plus"))))</f>
        <v>Current</v>
      </c>
    </row>
    <row r="14" customFormat="false" ht="15" hidden="false" customHeight="false" outlineLevel="0" collapsed="false">
      <c r="A14" s="9" t="s">
        <v>206</v>
      </c>
      <c r="B14" s="9" t="s">
        <v>207</v>
      </c>
      <c r="C14" s="9" t="s">
        <v>208</v>
      </c>
      <c r="D14" s="30" t="n">
        <v>46270</v>
      </c>
      <c r="E14" s="31" t="n">
        <v>30</v>
      </c>
      <c r="F14" s="32" t="n">
        <f aca="false">D14+E14</f>
        <v>46300</v>
      </c>
      <c r="G14" s="30" t="n">
        <v>46277</v>
      </c>
      <c r="H14" s="17" t="n">
        <v>36500</v>
      </c>
      <c r="I14" s="7" t="n">
        <f aca="false">MAX(0,$B$4-F14)</f>
        <v>0</v>
      </c>
      <c r="J14" s="4" t="str">
        <f aca="false">IF(I14=0,"Current",IF(I14&lt;=30,"1 to 30",IF(I14&lt;=60,"31 to 60",IF(I14&lt;=90,"61 to 90","90 plus"))))</f>
        <v>Current</v>
      </c>
    </row>
    <row r="15" customFormat="false" ht="15" hidden="false" customHeight="false" outlineLevel="0" collapsed="false">
      <c r="A15" s="9" t="s">
        <v>209</v>
      </c>
      <c r="B15" s="9" t="s">
        <v>210</v>
      </c>
      <c r="C15" s="9" t="s">
        <v>101</v>
      </c>
      <c r="D15" s="30" t="n">
        <v>46275</v>
      </c>
      <c r="E15" s="31" t="n">
        <v>30</v>
      </c>
      <c r="F15" s="32" t="n">
        <f aca="false">D15+E15</f>
        <v>46305</v>
      </c>
      <c r="G15" s="30" t="n">
        <v>46285</v>
      </c>
      <c r="H15" s="17" t="n">
        <v>28500</v>
      </c>
      <c r="I15" s="7" t="n">
        <f aca="false">MAX(0,$B$4-F15)</f>
        <v>0</v>
      </c>
      <c r="J15" s="4" t="str">
        <f aca="false">IF(I15=0,"Current",IF(I15&lt;=30,"1 to 30",IF(I15&lt;=60,"31 to 60",IF(I15&lt;=90,"61 to 90","90 plus"))))</f>
        <v>Current</v>
      </c>
    </row>
    <row r="16" customFormat="false" ht="15" hidden="false" customHeight="false" outlineLevel="0" collapsed="false">
      <c r="A16" s="9" t="s">
        <v>211</v>
      </c>
      <c r="B16" s="9" t="s">
        <v>210</v>
      </c>
      <c r="C16" s="9" t="s">
        <v>205</v>
      </c>
      <c r="D16" s="30" t="n">
        <v>46253</v>
      </c>
      <c r="E16" s="31" t="n">
        <v>30</v>
      </c>
      <c r="F16" s="32" t="n">
        <f aca="false">D16+E16</f>
        <v>46283</v>
      </c>
      <c r="G16" s="30" t="n">
        <v>46285</v>
      </c>
      <c r="H16" s="17" t="n">
        <v>52000</v>
      </c>
      <c r="I16" s="7" t="n">
        <f aca="false">MAX(0,$B$4-F16)</f>
        <v>12</v>
      </c>
      <c r="J16" s="4" t="str">
        <f aca="false">IF(I16=0,"Current",IF(I16&lt;=30,"1 to 30",IF(I16&lt;=60,"31 to 60",IF(I16&lt;=90,"61 to 90","90 plus"))))</f>
        <v>1 to 30</v>
      </c>
    </row>
    <row r="17" customFormat="false" ht="15" hidden="false" customHeight="false" outlineLevel="0" collapsed="false">
      <c r="A17" s="9" t="s">
        <v>212</v>
      </c>
      <c r="B17" s="9" t="s">
        <v>213</v>
      </c>
      <c r="C17" s="9" t="s">
        <v>208</v>
      </c>
      <c r="D17" s="30" t="n">
        <v>46237</v>
      </c>
      <c r="E17" s="31" t="n">
        <v>30</v>
      </c>
      <c r="F17" s="32" t="n">
        <f aca="false">D17+E17</f>
        <v>46267</v>
      </c>
      <c r="G17" s="30" t="n">
        <v>46266</v>
      </c>
      <c r="H17" s="17" t="n">
        <v>27800</v>
      </c>
      <c r="I17" s="7" t="n">
        <f aca="false">MAX(0,$B$4-F17)</f>
        <v>28</v>
      </c>
      <c r="J17" s="4" t="str">
        <f aca="false">IF(I17=0,"Current",IF(I17&lt;=30,"1 to 30",IF(I17&lt;=60,"31 to 60",IF(I17&lt;=90,"61 to 90","90 plus"))))</f>
        <v>1 to 30</v>
      </c>
    </row>
    <row r="18" customFormat="false" ht="15" hidden="false" customHeight="false" outlineLevel="0" collapsed="false">
      <c r="A18" s="9" t="s">
        <v>214</v>
      </c>
      <c r="B18" s="9" t="s">
        <v>215</v>
      </c>
      <c r="C18" s="9" t="s">
        <v>205</v>
      </c>
      <c r="D18" s="30" t="n">
        <v>46224</v>
      </c>
      <c r="E18" s="31" t="n">
        <v>30</v>
      </c>
      <c r="F18" s="32" t="n">
        <f aca="false">D18+E18</f>
        <v>46254</v>
      </c>
      <c r="G18" s="30" t="n">
        <v>46268</v>
      </c>
      <c r="H18" s="17" t="n">
        <v>19400</v>
      </c>
      <c r="I18" s="7" t="n">
        <f aca="false">MAX(0,$B$4-F18)</f>
        <v>41</v>
      </c>
      <c r="J18" s="4" t="str">
        <f aca="false">IF(I18=0,"Current",IF(I18&lt;=30,"1 to 30",IF(I18&lt;=60,"31 to 60",IF(I18&lt;=90,"61 to 90","90 plus"))))</f>
        <v>31 to 60</v>
      </c>
    </row>
    <row r="19" customFormat="false" ht="15" hidden="false" customHeight="false" outlineLevel="0" collapsed="false">
      <c r="A19" s="9" t="s">
        <v>216</v>
      </c>
      <c r="B19" s="9" t="s">
        <v>217</v>
      </c>
      <c r="C19" s="9" t="s">
        <v>208</v>
      </c>
      <c r="D19" s="30" t="n">
        <v>46209</v>
      </c>
      <c r="E19" s="31" t="n">
        <v>30</v>
      </c>
      <c r="F19" s="32" t="n">
        <f aca="false">D19+E19</f>
        <v>46239</v>
      </c>
      <c r="G19" s="30" t="n">
        <v>46259</v>
      </c>
      <c r="H19" s="17" t="n">
        <v>64200</v>
      </c>
      <c r="I19" s="7" t="n">
        <f aca="false">MAX(0,$B$4-F19)</f>
        <v>56</v>
      </c>
      <c r="J19" s="4" t="str">
        <f aca="false">IF(I19=0,"Current",IF(I19&lt;=30,"1 to 30",IF(I19&lt;=60,"31 to 60",IF(I19&lt;=90,"61 to 90","90 plus"))))</f>
        <v>31 to 60</v>
      </c>
    </row>
    <row r="20" customFormat="false" ht="15" hidden="false" customHeight="false" outlineLevel="0" collapsed="false">
      <c r="A20" s="9" t="s">
        <v>218</v>
      </c>
      <c r="B20" s="9" t="s">
        <v>219</v>
      </c>
      <c r="C20" s="9" t="s">
        <v>220</v>
      </c>
      <c r="D20" s="30" t="n">
        <v>46185</v>
      </c>
      <c r="E20" s="31" t="n">
        <v>30</v>
      </c>
      <c r="F20" s="32" t="n">
        <f aca="false">D20+E20</f>
        <v>46215</v>
      </c>
      <c r="G20" s="30" t="n">
        <v>46262</v>
      </c>
      <c r="H20" s="17" t="n">
        <v>22600</v>
      </c>
      <c r="I20" s="7" t="n">
        <f aca="false">MAX(0,$B$4-F20)</f>
        <v>80</v>
      </c>
      <c r="J20" s="4" t="str">
        <f aca="false">IF(I20=0,"Current",IF(I20&lt;=30,"1 to 30",IF(I20&lt;=60,"31 to 60",IF(I20&lt;=90,"61 to 90","90 plus"))))</f>
        <v>61 to 90</v>
      </c>
    </row>
    <row r="21" customFormat="false" ht="15" hidden="false" customHeight="false" outlineLevel="0" collapsed="false">
      <c r="A21" s="9" t="s">
        <v>221</v>
      </c>
      <c r="B21" s="9" t="s">
        <v>222</v>
      </c>
      <c r="C21" s="9" t="s">
        <v>205</v>
      </c>
      <c r="D21" s="30" t="n">
        <v>46140</v>
      </c>
      <c r="E21" s="31" t="n">
        <v>30</v>
      </c>
      <c r="F21" s="32" t="n">
        <f aca="false">D21+E21</f>
        <v>46170</v>
      </c>
      <c r="G21" s="30" t="n">
        <v>46095</v>
      </c>
      <c r="H21" s="17" t="n">
        <v>31900</v>
      </c>
      <c r="I21" s="7" t="n">
        <f aca="false">MAX(0,$B$4-F21)</f>
        <v>125</v>
      </c>
      <c r="J21" s="4" t="str">
        <f aca="false">IF(I21=0,"Current",IF(I21&lt;=30,"1 to 30",IF(I21&lt;=60,"31 to 60",IF(I21&lt;=90,"61 to 90","90 plus"))))</f>
        <v>90 plus</v>
      </c>
    </row>
    <row r="22" customFormat="false" ht="15" hidden="false" customHeight="false" outlineLevel="0" collapsed="false">
      <c r="A22" s="9" t="s">
        <v>223</v>
      </c>
      <c r="B22" s="9" t="s">
        <v>204</v>
      </c>
      <c r="C22" s="9" t="s">
        <v>101</v>
      </c>
      <c r="D22" s="30" t="n">
        <v>46285</v>
      </c>
      <c r="E22" s="31" t="n">
        <v>30</v>
      </c>
      <c r="F22" s="32" t="n">
        <f aca="false">D22+E22</f>
        <v>46315</v>
      </c>
      <c r="G22" s="30" t="n">
        <v>46273</v>
      </c>
      <c r="H22" s="17" t="n">
        <v>18000</v>
      </c>
      <c r="I22" s="7" t="n">
        <f aca="false">MAX(0,$B$4-F22)</f>
        <v>0</v>
      </c>
      <c r="J22" s="4" t="str">
        <f aca="false">IF(I22=0,"Current",IF(I22&lt;=30,"1 to 30",IF(I22&lt;=60,"31 to 60",IF(I22&lt;=90,"61 to 90","90 plus"))))</f>
        <v>Current</v>
      </c>
    </row>
    <row r="23" customFormat="false" ht="15" hidden="false" customHeight="false" outlineLevel="0" collapsed="false">
      <c r="A23" s="9" t="s">
        <v>224</v>
      </c>
      <c r="B23" s="9" t="s">
        <v>213</v>
      </c>
      <c r="C23" s="9" t="s">
        <v>220</v>
      </c>
      <c r="D23" s="30" t="n">
        <v>46289</v>
      </c>
      <c r="E23" s="31" t="n">
        <v>30</v>
      </c>
      <c r="F23" s="32" t="n">
        <f aca="false">D23+E23</f>
        <v>46319</v>
      </c>
      <c r="G23" s="30" t="n">
        <v>46266</v>
      </c>
      <c r="H23" s="17" t="n">
        <v>9500</v>
      </c>
      <c r="I23" s="7" t="n">
        <f aca="false">MAX(0,$B$4-F23)</f>
        <v>0</v>
      </c>
      <c r="J23" s="4" t="str">
        <f aca="false">IF(I23=0,"Current",IF(I23&lt;=30,"1 to 30",IF(I23&lt;=60,"31 to 60",IF(I23&lt;=90,"61 to 90","90 plus"))))</f>
        <v>Current</v>
      </c>
    </row>
    <row r="24" customFormat="false" ht="15" hidden="false" customHeight="false" outlineLevel="0" collapsed="false">
      <c r="A24" s="9" t="s">
        <v>225</v>
      </c>
      <c r="B24" s="9" t="s">
        <v>217</v>
      </c>
      <c r="C24" s="9" t="s">
        <v>101</v>
      </c>
      <c r="D24" s="30" t="n">
        <v>46233</v>
      </c>
      <c r="E24" s="31" t="n">
        <v>30</v>
      </c>
      <c r="F24" s="32" t="n">
        <f aca="false">D24+E24</f>
        <v>46263</v>
      </c>
      <c r="G24" s="30" t="n">
        <v>46259</v>
      </c>
      <c r="H24" s="17" t="n">
        <v>15500</v>
      </c>
      <c r="I24" s="7" t="n">
        <f aca="false">MAX(0,$B$4-F24)</f>
        <v>32</v>
      </c>
      <c r="J24" s="4" t="str">
        <f aca="false">IF(I24=0,"Current",IF(I24&lt;=30,"1 to 30",IF(I24&lt;=60,"31 to 60",IF(I24&lt;=90,"61 to 90","90 plus"))))</f>
        <v>31 to 60</v>
      </c>
    </row>
    <row r="25" customFormat="false" ht="15" hidden="false" customHeight="false" outlineLevel="0" collapsed="false">
      <c r="A25" s="9" t="s">
        <v>226</v>
      </c>
      <c r="B25" s="9" t="s">
        <v>215</v>
      </c>
      <c r="C25" s="9" t="s">
        <v>208</v>
      </c>
      <c r="D25" s="30" t="n">
        <v>46262</v>
      </c>
      <c r="E25" s="31" t="n">
        <v>30</v>
      </c>
      <c r="F25" s="32" t="n">
        <f aca="false">D25+E25</f>
        <v>46292</v>
      </c>
      <c r="G25" s="30" t="n">
        <v>46268</v>
      </c>
      <c r="H25" s="17" t="n">
        <v>21000</v>
      </c>
      <c r="I25" s="7" t="n">
        <f aca="false">MAX(0,$B$4-F25)</f>
        <v>3</v>
      </c>
      <c r="J25" s="4" t="str">
        <f aca="false">IF(I25=0,"Current",IF(I25&lt;=30,"1 to 30",IF(I25&lt;=60,"31 to 60",IF(I25&lt;=90,"61 to 90","90 plus"))))</f>
        <v>1 to 30</v>
      </c>
    </row>
    <row r="26" customFormat="false" ht="15" hidden="false" customHeight="false" outlineLevel="0" collapsed="false">
      <c r="A26" s="9" t="s">
        <v>227</v>
      </c>
      <c r="B26" s="9" t="s">
        <v>219</v>
      </c>
      <c r="C26" s="9" t="s">
        <v>205</v>
      </c>
      <c r="D26" s="30" t="n">
        <v>46258</v>
      </c>
      <c r="E26" s="31" t="n">
        <v>30</v>
      </c>
      <c r="F26" s="32" t="n">
        <f aca="false">D26+E26</f>
        <v>46288</v>
      </c>
      <c r="G26" s="30" t="n">
        <v>46262</v>
      </c>
      <c r="H26" s="17" t="n">
        <v>14300</v>
      </c>
      <c r="I26" s="7" t="n">
        <f aca="false">MAX(0,$B$4-F26)</f>
        <v>7</v>
      </c>
      <c r="J26" s="4" t="str">
        <f aca="false">IF(I26=0,"Current",IF(I26&lt;=30,"1 to 30",IF(I26&lt;=60,"31 to 60",IF(I26&lt;=90,"61 to 90","90 plus"))))</f>
        <v>1 to 30</v>
      </c>
    </row>
    <row r="27" customFormat="false" ht="15" hidden="false" customHeight="false" outlineLevel="0" collapsed="false">
      <c r="A27" s="21" t="s">
        <v>228</v>
      </c>
      <c r="B27" s="21"/>
      <c r="C27" s="21"/>
      <c r="D27" s="21"/>
      <c r="E27" s="21"/>
      <c r="F27" s="21"/>
      <c r="G27" s="21"/>
      <c r="H27" s="22" t="n">
        <f aca="false">SUM(H13:H26)</f>
        <v>409200</v>
      </c>
      <c r="I27" s="21"/>
      <c r="J27" s="21"/>
    </row>
    <row r="28" customFormat="false" ht="15" hidden="false" customHeight="false" outlineLevel="0" collapsed="false">
      <c r="A28" s="4" t="s">
        <v>229</v>
      </c>
      <c r="H28" s="25" t="n">
        <f aca="false">H27-INDEX('Trial Balance'!$D$9:$D$39,MATCH(1100,'Trial Balance'!$A$9:$A$39,0))</f>
        <v>0</v>
      </c>
      <c r="J28" s="3" t="str">
        <f aca="false">IF(ROUND(H28,0)=0,"OK","Check")</f>
        <v>OK</v>
      </c>
    </row>
    <row r="31" customFormat="false" ht="15" hidden="false" customHeight="false" outlineLevel="0" collapsed="false">
      <c r="A31" s="3" t="s">
        <v>230</v>
      </c>
    </row>
    <row r="32" customFormat="false" ht="30" hidden="false" customHeight="true" outlineLevel="0" collapsed="false">
      <c r="A32" s="6" t="s">
        <v>231</v>
      </c>
      <c r="B32" s="6" t="s">
        <v>195</v>
      </c>
      <c r="C32" s="6" t="s">
        <v>196</v>
      </c>
      <c r="D32" s="6" t="s">
        <v>232</v>
      </c>
      <c r="E32" s="6" t="s">
        <v>233</v>
      </c>
      <c r="F32" s="6" t="s">
        <v>234</v>
      </c>
      <c r="G32" s="6" t="s">
        <v>235</v>
      </c>
    </row>
    <row r="33" customFormat="false" ht="15" hidden="false" customHeight="false" outlineLevel="0" collapsed="false">
      <c r="A33" s="9" t="s">
        <v>236</v>
      </c>
      <c r="B33" s="9" t="s">
        <v>215</v>
      </c>
      <c r="C33" s="9" t="s">
        <v>208</v>
      </c>
      <c r="D33" s="17" t="n">
        <v>210</v>
      </c>
      <c r="E33" s="17" t="n">
        <v>150</v>
      </c>
      <c r="F33" s="18" t="n">
        <f aca="false">D33*E33</f>
        <v>31500</v>
      </c>
      <c r="G33" s="17" t="n">
        <v>31500</v>
      </c>
    </row>
    <row r="34" customFormat="false" ht="15" hidden="false" customHeight="false" outlineLevel="0" collapsed="false">
      <c r="A34" s="9" t="s">
        <v>237</v>
      </c>
      <c r="B34" s="9" t="s">
        <v>207</v>
      </c>
      <c r="C34" s="9" t="s">
        <v>208</v>
      </c>
      <c r="D34" s="17" t="n">
        <v>164</v>
      </c>
      <c r="E34" s="17" t="n">
        <v>150</v>
      </c>
      <c r="F34" s="18" t="n">
        <f aca="false">D34*E34</f>
        <v>24600</v>
      </c>
      <c r="G34" s="17" t="n">
        <v>24600</v>
      </c>
    </row>
    <row r="35" customFormat="false" ht="15" hidden="false" customHeight="false" outlineLevel="0" collapsed="false">
      <c r="A35" s="9" t="s">
        <v>238</v>
      </c>
      <c r="B35" s="9" t="s">
        <v>204</v>
      </c>
      <c r="C35" s="9" t="s">
        <v>205</v>
      </c>
      <c r="D35" s="17" t="n">
        <v>84</v>
      </c>
      <c r="E35" s="17" t="n">
        <v>150</v>
      </c>
      <c r="F35" s="18" t="n">
        <f aca="false">D35*E35</f>
        <v>12600</v>
      </c>
      <c r="G35" s="17" t="n">
        <v>7500</v>
      </c>
    </row>
    <row r="36" customFormat="false" ht="15" hidden="false" customHeight="false" outlineLevel="0" collapsed="false">
      <c r="A36" s="9" t="s">
        <v>239</v>
      </c>
      <c r="B36" s="9" t="s">
        <v>217</v>
      </c>
      <c r="C36" s="9" t="s">
        <v>101</v>
      </c>
      <c r="D36" s="17" t="n">
        <v>80</v>
      </c>
      <c r="E36" s="17" t="n">
        <v>125</v>
      </c>
      <c r="F36" s="18" t="n">
        <f aca="false">D36*E36</f>
        <v>10000</v>
      </c>
      <c r="G36" s="17" t="n">
        <v>10000</v>
      </c>
    </row>
    <row r="37" customFormat="false" ht="15" hidden="false" customHeight="false" outlineLevel="0" collapsed="false">
      <c r="A37" s="9" t="s">
        <v>240</v>
      </c>
      <c r="B37" s="9" t="s">
        <v>213</v>
      </c>
      <c r="C37" s="9" t="s">
        <v>220</v>
      </c>
      <c r="D37" s="17" t="n">
        <v>96</v>
      </c>
      <c r="E37" s="17" t="n">
        <v>120</v>
      </c>
      <c r="F37" s="18" t="n">
        <f aca="false">D37*E37</f>
        <v>11520</v>
      </c>
      <c r="G37" s="17" t="n">
        <v>11520</v>
      </c>
    </row>
    <row r="38" customFormat="false" ht="15" hidden="false" customHeight="false" outlineLevel="0" collapsed="false">
      <c r="A38" s="21" t="s">
        <v>241</v>
      </c>
      <c r="B38" s="21"/>
      <c r="C38" s="21"/>
      <c r="D38" s="22" t="n">
        <f aca="false">SUM(D33:D37)</f>
        <v>634</v>
      </c>
      <c r="E38" s="21"/>
      <c r="F38" s="22" t="n">
        <f aca="false">SUM(F33:F37)</f>
        <v>90220</v>
      </c>
      <c r="G38" s="22" t="n">
        <f aca="false">SUM(G33:G37)</f>
        <v>85120</v>
      </c>
    </row>
    <row r="39" customFormat="false" ht="15" hidden="false" customHeight="false" outlineLevel="0" collapsed="false">
      <c r="A39" s="4" t="s">
        <v>242</v>
      </c>
      <c r="G39" s="25" t="n">
        <f aca="false">G38-INDEX('Trial Balance'!$D$9:$D$39,MATCH(1200,'Trial Balance'!$A$9:$A$39,0))</f>
        <v>0</v>
      </c>
      <c r="H39" s="3" t="str">
        <f aca="false">IF(ROUND(G39,0)=0,"OK","Check")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46"/>
    <col collapsed="false" customWidth="true" hidden="false" outlineLevel="0" max="6" min="4" style="0" width="13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11" min="11" style="0" width="13"/>
  </cols>
  <sheetData>
    <row r="1" customFormat="false" ht="17.35" hidden="false" customHeight="false" outlineLevel="0" collapsed="false">
      <c r="A1" s="1" t="s">
        <v>243</v>
      </c>
    </row>
    <row r="2" customFormat="false" ht="15" hidden="false" customHeight="false" outlineLevel="0" collapsed="false">
      <c r="A2" s="2" t="s">
        <v>244</v>
      </c>
    </row>
    <row r="4" customFormat="false" ht="30" hidden="false" customHeight="true" outlineLevel="0" collapsed="false">
      <c r="A4" s="6" t="s">
        <v>245</v>
      </c>
      <c r="B4" s="6" t="s">
        <v>246</v>
      </c>
      <c r="C4" s="6" t="s">
        <v>247</v>
      </c>
      <c r="D4" s="6" t="s">
        <v>197</v>
      </c>
      <c r="E4" s="6" t="s">
        <v>248</v>
      </c>
      <c r="F4" s="6" t="s">
        <v>199</v>
      </c>
      <c r="G4" s="6" t="s">
        <v>192</v>
      </c>
      <c r="H4" s="6" t="s">
        <v>249</v>
      </c>
      <c r="I4" s="6" t="s">
        <v>250</v>
      </c>
      <c r="J4" s="6" t="s">
        <v>178</v>
      </c>
      <c r="K4" s="6" t="s">
        <v>251</v>
      </c>
    </row>
    <row r="5" customFormat="false" ht="15" hidden="false" customHeight="false" outlineLevel="0" collapsed="false">
      <c r="A5" s="9" t="s">
        <v>252</v>
      </c>
      <c r="B5" s="9" t="s">
        <v>253</v>
      </c>
      <c r="C5" s="9" t="s">
        <v>254</v>
      </c>
      <c r="D5" s="30" t="n">
        <v>46235</v>
      </c>
      <c r="E5" s="30" t="n">
        <v>46235</v>
      </c>
      <c r="F5" s="30" t="n">
        <v>46235</v>
      </c>
      <c r="G5" s="17" t="n">
        <v>18000</v>
      </c>
      <c r="H5" s="31" t="n">
        <v>6000</v>
      </c>
      <c r="I5" s="9" t="s">
        <v>255</v>
      </c>
      <c r="J5" s="9" t="s">
        <v>256</v>
      </c>
      <c r="K5" s="30" t="n">
        <v>46238</v>
      </c>
    </row>
    <row r="6" customFormat="false" ht="15" hidden="false" customHeight="false" outlineLevel="0" collapsed="false">
      <c r="A6" s="9" t="s">
        <v>257</v>
      </c>
      <c r="B6" s="9" t="s">
        <v>258</v>
      </c>
      <c r="C6" s="9" t="s">
        <v>259</v>
      </c>
      <c r="D6" s="30" t="n">
        <v>46235</v>
      </c>
      <c r="E6" s="30" t="n">
        <v>46236</v>
      </c>
      <c r="F6" s="30" t="n">
        <v>46265</v>
      </c>
      <c r="G6" s="17" t="n">
        <v>6400</v>
      </c>
      <c r="H6" s="31" t="n">
        <v>6100</v>
      </c>
      <c r="I6" s="9" t="s">
        <v>260</v>
      </c>
      <c r="J6" s="9" t="s">
        <v>256</v>
      </c>
      <c r="K6" s="30" t="n">
        <v>46264</v>
      </c>
    </row>
    <row r="7" customFormat="false" ht="15" hidden="false" customHeight="false" outlineLevel="0" collapsed="false">
      <c r="A7" s="9" t="s">
        <v>261</v>
      </c>
      <c r="B7" s="9" t="s">
        <v>262</v>
      </c>
      <c r="C7" s="9" t="s">
        <v>263</v>
      </c>
      <c r="D7" s="30" t="n">
        <v>46246</v>
      </c>
      <c r="E7" s="30" t="n">
        <v>46247</v>
      </c>
      <c r="F7" s="30" t="n">
        <v>46276</v>
      </c>
      <c r="G7" s="17" t="n">
        <v>12000</v>
      </c>
      <c r="H7" s="31" t="n">
        <v>6300</v>
      </c>
      <c r="I7" s="9" t="s">
        <v>255</v>
      </c>
      <c r="J7" s="9" t="s">
        <v>256</v>
      </c>
      <c r="K7" s="30" t="n">
        <v>46275</v>
      </c>
    </row>
    <row r="8" customFormat="false" ht="15" hidden="false" customHeight="false" outlineLevel="0" collapsed="false">
      <c r="A8" s="9" t="s">
        <v>264</v>
      </c>
      <c r="B8" s="9" t="s">
        <v>265</v>
      </c>
      <c r="C8" s="9" t="s">
        <v>266</v>
      </c>
      <c r="D8" s="30" t="n">
        <v>46259</v>
      </c>
      <c r="E8" s="30" t="n">
        <v>46260</v>
      </c>
      <c r="F8" s="30" t="n">
        <v>46289</v>
      </c>
      <c r="G8" s="17" t="n">
        <v>12500</v>
      </c>
      <c r="H8" s="31" t="n">
        <v>5100</v>
      </c>
      <c r="I8" s="9" t="s">
        <v>255</v>
      </c>
      <c r="J8" s="9" t="s">
        <v>267</v>
      </c>
    </row>
    <row r="9" customFormat="false" ht="15" hidden="false" customHeight="false" outlineLevel="0" collapsed="false">
      <c r="A9" s="9" t="s">
        <v>268</v>
      </c>
      <c r="B9" s="9" t="s">
        <v>269</v>
      </c>
      <c r="C9" s="9" t="s">
        <v>270</v>
      </c>
      <c r="D9" s="30" t="n">
        <v>46259</v>
      </c>
      <c r="E9" s="30" t="n">
        <v>46260</v>
      </c>
      <c r="F9" s="30" t="n">
        <v>46289</v>
      </c>
      <c r="G9" s="17" t="n">
        <v>5200</v>
      </c>
      <c r="H9" s="31" t="n">
        <v>6100</v>
      </c>
      <c r="I9" s="9" t="s">
        <v>255</v>
      </c>
      <c r="J9" s="9" t="s">
        <v>267</v>
      </c>
    </row>
    <row r="10" customFormat="false" ht="15" hidden="false" customHeight="false" outlineLevel="0" collapsed="false">
      <c r="A10" s="9" t="s">
        <v>252</v>
      </c>
      <c r="B10" s="9" t="s">
        <v>271</v>
      </c>
      <c r="C10" s="9" t="s">
        <v>272</v>
      </c>
      <c r="D10" s="30" t="n">
        <v>46266</v>
      </c>
      <c r="E10" s="30" t="n">
        <v>46266</v>
      </c>
      <c r="F10" s="30" t="n">
        <v>46266</v>
      </c>
      <c r="G10" s="17" t="n">
        <v>18000</v>
      </c>
      <c r="H10" s="31" t="n">
        <v>6000</v>
      </c>
      <c r="I10" s="9" t="s">
        <v>255</v>
      </c>
      <c r="J10" s="9" t="s">
        <v>256</v>
      </c>
      <c r="K10" s="30" t="n">
        <v>46268</v>
      </c>
    </row>
    <row r="11" customFormat="false" ht="15" hidden="false" customHeight="false" outlineLevel="0" collapsed="false">
      <c r="A11" s="9" t="s">
        <v>257</v>
      </c>
      <c r="B11" s="9" t="s">
        <v>273</v>
      </c>
      <c r="C11" s="9" t="s">
        <v>274</v>
      </c>
      <c r="D11" s="30" t="n">
        <v>46266</v>
      </c>
      <c r="E11" s="30" t="n">
        <v>46267</v>
      </c>
      <c r="F11" s="30" t="n">
        <v>46296</v>
      </c>
      <c r="G11" s="17" t="n">
        <v>6400</v>
      </c>
      <c r="H11" s="31" t="n">
        <v>6100</v>
      </c>
      <c r="I11" s="9" t="s">
        <v>260</v>
      </c>
      <c r="J11" s="9" t="s">
        <v>267</v>
      </c>
    </row>
    <row r="12" customFormat="false" ht="15" hidden="false" customHeight="false" outlineLevel="0" collapsed="false">
      <c r="A12" s="9" t="s">
        <v>261</v>
      </c>
      <c r="B12" s="9" t="s">
        <v>275</v>
      </c>
      <c r="C12" s="9" t="s">
        <v>276</v>
      </c>
      <c r="D12" s="30" t="n">
        <v>46269</v>
      </c>
      <c r="E12" s="30" t="n">
        <v>46270</v>
      </c>
      <c r="F12" s="30" t="n">
        <v>46299</v>
      </c>
      <c r="G12" s="17" t="n">
        <v>12000</v>
      </c>
      <c r="H12" s="31" t="n">
        <v>6300</v>
      </c>
      <c r="I12" s="9" t="s">
        <v>255</v>
      </c>
      <c r="J12" s="9" t="s">
        <v>267</v>
      </c>
    </row>
    <row r="13" customFormat="false" ht="15" hidden="false" customHeight="false" outlineLevel="0" collapsed="false">
      <c r="A13" s="9" t="s">
        <v>277</v>
      </c>
      <c r="B13" s="9" t="s">
        <v>278</v>
      </c>
      <c r="C13" s="9" t="s">
        <v>279</v>
      </c>
      <c r="D13" s="30" t="n">
        <v>46274</v>
      </c>
      <c r="E13" s="30" t="n">
        <v>46275</v>
      </c>
      <c r="F13" s="30" t="n">
        <v>46304</v>
      </c>
      <c r="G13" s="17" t="n">
        <v>9000</v>
      </c>
      <c r="H13" s="31" t="n">
        <v>6400</v>
      </c>
      <c r="I13" s="9" t="s">
        <v>260</v>
      </c>
      <c r="J13" s="9" t="s">
        <v>267</v>
      </c>
    </row>
    <row r="14" customFormat="false" ht="15" hidden="false" customHeight="false" outlineLevel="0" collapsed="false">
      <c r="A14" s="9" t="s">
        <v>280</v>
      </c>
      <c r="B14" s="9" t="s">
        <v>281</v>
      </c>
      <c r="C14" s="9" t="s">
        <v>282</v>
      </c>
      <c r="D14" s="30" t="n">
        <v>46274</v>
      </c>
      <c r="E14" s="30" t="n">
        <v>46275</v>
      </c>
      <c r="F14" s="30" t="n">
        <v>46304</v>
      </c>
      <c r="G14" s="17" t="n">
        <v>3200</v>
      </c>
      <c r="H14" s="31" t="n">
        <v>6400</v>
      </c>
      <c r="I14" s="9" t="s">
        <v>260</v>
      </c>
      <c r="J14" s="9" t="s">
        <v>267</v>
      </c>
    </row>
    <row r="15" customFormat="false" ht="15" hidden="false" customHeight="false" outlineLevel="0" collapsed="false">
      <c r="A15" s="9" t="s">
        <v>283</v>
      </c>
      <c r="B15" s="9" t="s">
        <v>284</v>
      </c>
      <c r="C15" s="9" t="s">
        <v>285</v>
      </c>
      <c r="D15" s="30" t="n">
        <v>46277</v>
      </c>
      <c r="E15" s="30" t="n">
        <v>46278</v>
      </c>
      <c r="F15" s="30" t="n">
        <v>46307</v>
      </c>
      <c r="G15" s="17" t="n">
        <v>14000</v>
      </c>
      <c r="H15" s="31" t="n">
        <v>5100</v>
      </c>
      <c r="I15" s="9" t="s">
        <v>255</v>
      </c>
      <c r="J15" s="9" t="s">
        <v>267</v>
      </c>
    </row>
    <row r="16" customFormat="false" ht="15" hidden="false" customHeight="false" outlineLevel="0" collapsed="false">
      <c r="A16" s="9" t="s">
        <v>286</v>
      </c>
      <c r="B16" s="9" t="s">
        <v>287</v>
      </c>
      <c r="C16" s="9" t="s">
        <v>288</v>
      </c>
      <c r="D16" s="30" t="n">
        <v>46279</v>
      </c>
      <c r="E16" s="30" t="n">
        <v>46280</v>
      </c>
      <c r="F16" s="30" t="n">
        <v>46309</v>
      </c>
      <c r="G16" s="17" t="n">
        <v>1500</v>
      </c>
      <c r="H16" s="31" t="n">
        <v>6100</v>
      </c>
      <c r="I16" s="9" t="s">
        <v>260</v>
      </c>
      <c r="J16" s="9" t="s">
        <v>256</v>
      </c>
      <c r="K16" s="30" t="n">
        <v>46293</v>
      </c>
    </row>
    <row r="17" customFormat="false" ht="15" hidden="false" customHeight="false" outlineLevel="0" collapsed="false">
      <c r="A17" s="9" t="s">
        <v>289</v>
      </c>
      <c r="B17" s="9" t="s">
        <v>290</v>
      </c>
      <c r="C17" s="9" t="s">
        <v>291</v>
      </c>
      <c r="D17" s="30" t="n">
        <v>46280</v>
      </c>
      <c r="E17" s="30" t="n">
        <v>46280</v>
      </c>
      <c r="F17" s="30" t="n">
        <v>46310</v>
      </c>
      <c r="G17" s="17" t="n">
        <v>3000</v>
      </c>
      <c r="H17" s="31" t="n">
        <v>6500</v>
      </c>
      <c r="I17" s="9" t="s">
        <v>255</v>
      </c>
      <c r="J17" s="9" t="s">
        <v>256</v>
      </c>
      <c r="K17" s="30" t="n">
        <v>46291</v>
      </c>
    </row>
    <row r="18" customFormat="false" ht="15" hidden="false" customHeight="false" outlineLevel="0" collapsed="false">
      <c r="A18" s="9" t="s">
        <v>292</v>
      </c>
      <c r="B18" s="9" t="s">
        <v>293</v>
      </c>
      <c r="C18" s="9" t="s">
        <v>294</v>
      </c>
      <c r="D18" s="30" t="n">
        <v>46281</v>
      </c>
      <c r="E18" s="30" t="n">
        <v>46282</v>
      </c>
      <c r="F18" s="30" t="n">
        <v>46311</v>
      </c>
      <c r="G18" s="17" t="n">
        <v>9000</v>
      </c>
      <c r="H18" s="31" t="n">
        <v>6200</v>
      </c>
      <c r="I18" s="9" t="s">
        <v>260</v>
      </c>
      <c r="J18" s="9" t="s">
        <v>267</v>
      </c>
    </row>
    <row r="19" customFormat="false" ht="15" hidden="false" customHeight="false" outlineLevel="0" collapsed="false">
      <c r="A19" s="9" t="s">
        <v>264</v>
      </c>
      <c r="B19" s="9" t="s">
        <v>295</v>
      </c>
      <c r="C19" s="9" t="s">
        <v>296</v>
      </c>
      <c r="D19" s="30" t="n">
        <v>46283</v>
      </c>
      <c r="E19" s="30" t="n">
        <v>46284</v>
      </c>
      <c r="F19" s="30" t="n">
        <v>46313</v>
      </c>
      <c r="G19" s="17" t="n">
        <v>18000</v>
      </c>
      <c r="H19" s="31" t="n">
        <v>5100</v>
      </c>
      <c r="I19" s="9" t="s">
        <v>255</v>
      </c>
      <c r="J19" s="9" t="s">
        <v>267</v>
      </c>
    </row>
    <row r="20" customFormat="false" ht="15" hidden="false" customHeight="false" outlineLevel="0" collapsed="false">
      <c r="A20" s="9" t="s">
        <v>264</v>
      </c>
      <c r="B20" s="9" t="s">
        <v>297</v>
      </c>
      <c r="C20" s="9" t="s">
        <v>296</v>
      </c>
      <c r="D20" s="30" t="n">
        <v>46283</v>
      </c>
      <c r="E20" s="30" t="n">
        <v>46289</v>
      </c>
      <c r="F20" s="30" t="n">
        <v>46313</v>
      </c>
      <c r="G20" s="17" t="n">
        <v>18000</v>
      </c>
      <c r="H20" s="31" t="n">
        <v>5100</v>
      </c>
      <c r="I20" s="9" t="s">
        <v>255</v>
      </c>
      <c r="J20" s="9" t="s">
        <v>267</v>
      </c>
    </row>
    <row r="21" customFormat="false" ht="15" hidden="false" customHeight="false" outlineLevel="0" collapsed="false">
      <c r="A21" s="9" t="s">
        <v>298</v>
      </c>
      <c r="B21" s="9" t="s">
        <v>299</v>
      </c>
      <c r="C21" s="9" t="s">
        <v>300</v>
      </c>
      <c r="D21" s="30" t="n">
        <v>46285</v>
      </c>
      <c r="E21" s="30" t="n">
        <v>46286</v>
      </c>
      <c r="F21" s="30" t="n">
        <v>46315</v>
      </c>
      <c r="G21" s="17" t="n">
        <v>5400</v>
      </c>
      <c r="H21" s="31" t="n">
        <v>6200</v>
      </c>
      <c r="I21" s="9" t="s">
        <v>260</v>
      </c>
      <c r="J21" s="9" t="s">
        <v>256</v>
      </c>
      <c r="K21" s="30" t="n">
        <v>46294</v>
      </c>
    </row>
    <row r="22" customFormat="false" ht="15" hidden="false" customHeight="false" outlineLevel="0" collapsed="false">
      <c r="A22" s="9" t="s">
        <v>280</v>
      </c>
      <c r="B22" s="9" t="s">
        <v>301</v>
      </c>
      <c r="C22" s="9" t="s">
        <v>302</v>
      </c>
      <c r="D22" s="30" t="n">
        <v>46287</v>
      </c>
      <c r="E22" s="30" t="n">
        <v>46288</v>
      </c>
      <c r="F22" s="30" t="n">
        <v>46317</v>
      </c>
      <c r="G22" s="17" t="n">
        <v>9800</v>
      </c>
      <c r="H22" s="31" t="n">
        <v>5200</v>
      </c>
      <c r="I22" s="9" t="s">
        <v>260</v>
      </c>
      <c r="J22" s="9" t="s">
        <v>267</v>
      </c>
    </row>
    <row r="23" customFormat="false" ht="15" hidden="false" customHeight="false" outlineLevel="0" collapsed="false">
      <c r="A23" s="9" t="s">
        <v>268</v>
      </c>
      <c r="B23" s="9" t="s">
        <v>303</v>
      </c>
      <c r="C23" s="9" t="s">
        <v>304</v>
      </c>
      <c r="D23" s="30" t="n">
        <v>46290</v>
      </c>
      <c r="E23" s="30" t="n">
        <v>46291</v>
      </c>
      <c r="F23" s="30" t="n">
        <v>46320</v>
      </c>
      <c r="G23" s="17" t="n">
        <v>5200</v>
      </c>
      <c r="H23" s="31" t="n">
        <v>6100</v>
      </c>
      <c r="I23" s="9" t="s">
        <v>255</v>
      </c>
      <c r="J23" s="9" t="s">
        <v>267</v>
      </c>
    </row>
    <row r="24" customFormat="false" ht="15" hidden="false" customHeight="false" outlineLevel="0" collapsed="false">
      <c r="A24" s="9" t="s">
        <v>305</v>
      </c>
      <c r="B24" s="9" t="s">
        <v>306</v>
      </c>
      <c r="C24" s="9" t="s">
        <v>307</v>
      </c>
      <c r="D24" s="30" t="n">
        <v>46293</v>
      </c>
      <c r="E24" s="30" t="n">
        <v>46294</v>
      </c>
      <c r="F24" s="30" t="n">
        <v>46323</v>
      </c>
      <c r="G24" s="17" t="n">
        <v>7600</v>
      </c>
      <c r="H24" s="31" t="n">
        <v>6200</v>
      </c>
      <c r="I24" s="9" t="s">
        <v>260</v>
      </c>
      <c r="J24" s="9" t="s">
        <v>267</v>
      </c>
    </row>
    <row r="26" customFormat="false" ht="15" hidden="false" customHeight="false" outlineLevel="0" collapsed="false">
      <c r="A26" s="3" t="s">
        <v>308</v>
      </c>
      <c r="G26" s="29" t="n">
        <f aca="false">SUMIFS(G5:G24,J5:J24,"Open")</f>
        <v>129900</v>
      </c>
    </row>
    <row r="27" customFormat="false" ht="15" hidden="false" customHeight="false" outlineLevel="0" collapsed="false">
      <c r="A27" s="4" t="s">
        <v>309</v>
      </c>
      <c r="G27" s="25" t="n">
        <f aca="false">G26+INDEX('Trial Balance'!$D$9:$D$39,MATCH(2000,'Trial Balance'!$A$9:$A$39,0))</f>
        <v>0</v>
      </c>
      <c r="H27" s="3" t="str">
        <f aca="false">IF(ROUND(G27,0)=0,"OK","Check")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5"/>
    <col collapsed="false" customWidth="true" hidden="false" outlineLevel="0" max="8" min="7" style="0" width="14"/>
    <col collapsed="false" customWidth="true" hidden="false" outlineLevel="0" max="9" min="9" style="0" width="9"/>
  </cols>
  <sheetData>
    <row r="1" customFormat="false" ht="17.35" hidden="false" customHeight="false" outlineLevel="0" collapsed="false">
      <c r="A1" s="1" t="s">
        <v>310</v>
      </c>
    </row>
    <row r="2" customFormat="false" ht="15" hidden="false" customHeight="false" outlineLevel="0" collapsed="false">
      <c r="A2" s="2" t="s">
        <v>311</v>
      </c>
    </row>
    <row r="3" customFormat="false" ht="15" hidden="false" customHeight="false" outlineLevel="0" collapsed="false">
      <c r="A3" s="4" t="s">
        <v>312</v>
      </c>
      <c r="B3" s="27" t="n">
        <v>46295</v>
      </c>
    </row>
    <row r="5" customFormat="false" ht="15" hidden="false" customHeight="false" outlineLevel="0" collapsed="false">
      <c r="A5" s="3" t="s">
        <v>313</v>
      </c>
    </row>
    <row r="6" customFormat="false" ht="30" hidden="false" customHeight="true" outlineLevel="0" collapsed="false">
      <c r="A6" s="6" t="s">
        <v>314</v>
      </c>
      <c r="B6" s="6" t="s">
        <v>315</v>
      </c>
      <c r="C6" s="6" t="s">
        <v>129</v>
      </c>
      <c r="D6" s="6" t="s">
        <v>316</v>
      </c>
      <c r="E6" s="6" t="s">
        <v>317</v>
      </c>
      <c r="F6" s="6" t="s">
        <v>318</v>
      </c>
    </row>
    <row r="7" customFormat="false" ht="15" hidden="false" customHeight="false" outlineLevel="0" collapsed="false">
      <c r="A7" s="9" t="s">
        <v>319</v>
      </c>
      <c r="B7" s="9" t="s">
        <v>320</v>
      </c>
      <c r="C7" s="31" t="n">
        <v>2150</v>
      </c>
      <c r="D7" s="17" t="n">
        <v>12500</v>
      </c>
      <c r="E7" s="17" t="n">
        <v>12500</v>
      </c>
      <c r="F7" s="17" t="n">
        <v>12500</v>
      </c>
    </row>
    <row r="8" customFormat="false" ht="15" hidden="false" customHeight="false" outlineLevel="0" collapsed="false">
      <c r="A8" s="9" t="s">
        <v>321</v>
      </c>
      <c r="B8" s="9" t="s">
        <v>322</v>
      </c>
      <c r="C8" s="31" t="n">
        <v>2100</v>
      </c>
      <c r="D8" s="17" t="n">
        <v>2000</v>
      </c>
      <c r="E8" s="17" t="n">
        <v>2000</v>
      </c>
      <c r="F8" s="17" t="n">
        <v>0</v>
      </c>
    </row>
    <row r="9" customFormat="false" ht="15" hidden="false" customHeight="false" outlineLevel="0" collapsed="false">
      <c r="A9" s="9" t="s">
        <v>323</v>
      </c>
      <c r="B9" s="9" t="s">
        <v>324</v>
      </c>
      <c r="C9" s="31" t="n">
        <v>2100</v>
      </c>
      <c r="D9" s="17" t="n">
        <v>1400</v>
      </c>
      <c r="E9" s="17" t="n">
        <v>1400</v>
      </c>
      <c r="F9" s="17" t="n">
        <v>1400</v>
      </c>
    </row>
    <row r="10" customFormat="false" ht="15" hidden="false" customHeight="false" outlineLevel="0" collapsed="false">
      <c r="A10" s="9" t="s">
        <v>325</v>
      </c>
      <c r="B10" s="9" t="s">
        <v>326</v>
      </c>
      <c r="C10" s="31" t="n">
        <v>2100</v>
      </c>
      <c r="D10" s="33" t="s">
        <v>327</v>
      </c>
      <c r="E10" s="17" t="n">
        <v>18500</v>
      </c>
      <c r="F10" s="17" t="n">
        <v>21000</v>
      </c>
    </row>
    <row r="11" customFormat="false" ht="15" hidden="false" customHeight="false" outlineLevel="0" collapsed="false">
      <c r="A11" s="9" t="s">
        <v>328</v>
      </c>
      <c r="B11" s="9" t="s">
        <v>329</v>
      </c>
      <c r="C11" s="31" t="n">
        <v>2100</v>
      </c>
      <c r="D11" s="17" t="n">
        <v>2800</v>
      </c>
      <c r="E11" s="17" t="n">
        <v>2800</v>
      </c>
      <c r="F11" s="17" t="n">
        <v>2800</v>
      </c>
    </row>
    <row r="12" customFormat="false" ht="15" hidden="false" customHeight="false" outlineLevel="0" collapsed="false">
      <c r="A12" s="21" t="s">
        <v>330</v>
      </c>
      <c r="B12" s="21"/>
      <c r="C12" s="21"/>
      <c r="D12" s="21"/>
      <c r="E12" s="22" t="n">
        <f aca="false">SUMIFS(E7:E11,$C$7:$C$11,2100)</f>
        <v>24700</v>
      </c>
      <c r="F12" s="22" t="n">
        <f aca="false">SUMIFS(F7:F11,$C$7:$C$11,2100)</f>
        <v>25200</v>
      </c>
    </row>
    <row r="13" customFormat="false" ht="15" hidden="false" customHeight="false" outlineLevel="0" collapsed="false">
      <c r="A13" s="4" t="s">
        <v>331</v>
      </c>
      <c r="F13" s="25" t="n">
        <f aca="false">F12+INDEX('Trial Balance'!$D$9:$D$39,MATCH(2100,'Trial Balance'!$A$9:$A$39,0))</f>
        <v>0</v>
      </c>
      <c r="G13" s="3" t="str">
        <f aca="false">IF(ROUND(F13,0)=0,"OK","Check")</f>
        <v>OK</v>
      </c>
    </row>
    <row r="16" customFormat="false" ht="15" hidden="false" customHeight="false" outlineLevel="0" collapsed="false">
      <c r="A16" s="3" t="s">
        <v>79</v>
      </c>
    </row>
    <row r="17" customFormat="false" ht="30" hidden="false" customHeight="true" outlineLevel="0" collapsed="false">
      <c r="A17" s="6" t="s">
        <v>314</v>
      </c>
      <c r="B17" s="6" t="s">
        <v>332</v>
      </c>
      <c r="C17" s="6" t="s">
        <v>333</v>
      </c>
      <c r="D17" s="6" t="s">
        <v>334</v>
      </c>
      <c r="E17" s="6" t="s">
        <v>335</v>
      </c>
      <c r="F17" s="6" t="s">
        <v>336</v>
      </c>
      <c r="G17" s="6" t="s">
        <v>337</v>
      </c>
      <c r="H17" s="6" t="s">
        <v>338</v>
      </c>
    </row>
    <row r="18" customFormat="false" ht="15" hidden="false" customHeight="false" outlineLevel="0" collapsed="false">
      <c r="A18" s="9" t="s">
        <v>339</v>
      </c>
      <c r="B18" s="30" t="n">
        <v>46082</v>
      </c>
      <c r="C18" s="31" t="n">
        <v>12</v>
      </c>
      <c r="D18" s="17" t="n">
        <v>14400</v>
      </c>
      <c r="E18" s="18" t="n">
        <f aca="false">D18/C18</f>
        <v>1200</v>
      </c>
      <c r="F18" s="7" t="n">
        <f aca="false">MAX(0,MIN(C18,(YEAR($B$3)-YEAR(B18))*12+MONTH($B$3)-MONTH(B18)+1))</f>
        <v>7</v>
      </c>
      <c r="G18" s="18" t="n">
        <f aca="false">D18-E18*F18</f>
        <v>6000</v>
      </c>
      <c r="H18" s="17" t="n">
        <v>6000</v>
      </c>
    </row>
    <row r="19" customFormat="false" ht="15" hidden="false" customHeight="false" outlineLevel="0" collapsed="false">
      <c r="A19" s="9" t="s">
        <v>340</v>
      </c>
      <c r="B19" s="30" t="n">
        <v>46174</v>
      </c>
      <c r="C19" s="31" t="n">
        <v>12</v>
      </c>
      <c r="D19" s="17" t="n">
        <v>21600</v>
      </c>
      <c r="E19" s="18" t="n">
        <f aca="false">D19/C19</f>
        <v>1800</v>
      </c>
      <c r="F19" s="7" t="n">
        <f aca="false">MAX(0,MIN(C19,(YEAR($B$3)-YEAR(B19))*12+MONTH($B$3)-MONTH(B19)+1))</f>
        <v>4</v>
      </c>
      <c r="G19" s="18" t="n">
        <f aca="false">D19-E19*F19</f>
        <v>14400</v>
      </c>
      <c r="H19" s="17" t="n">
        <v>16200</v>
      </c>
    </row>
    <row r="20" customFormat="false" ht="15" hidden="false" customHeight="false" outlineLevel="0" collapsed="false">
      <c r="A20" s="9" t="s">
        <v>341</v>
      </c>
      <c r="B20" s="30" t="n">
        <v>46266</v>
      </c>
      <c r="C20" s="31" t="n">
        <v>3</v>
      </c>
      <c r="D20" s="17" t="n">
        <v>9000</v>
      </c>
      <c r="E20" s="18" t="n">
        <f aca="false">D20/C20</f>
        <v>3000</v>
      </c>
      <c r="F20" s="7" t="n">
        <f aca="false">MAX(0,MIN(C20,(YEAR($B$3)-YEAR(B20))*12+MONTH($B$3)-MONTH(B20)+1))</f>
        <v>1</v>
      </c>
      <c r="G20" s="18" t="n">
        <f aca="false">D20-E20*F20</f>
        <v>6000</v>
      </c>
      <c r="H20" s="17" t="n">
        <v>6000</v>
      </c>
    </row>
    <row r="21" customFormat="false" ht="15" hidden="false" customHeight="false" outlineLevel="0" collapsed="false">
      <c r="A21" s="21" t="s">
        <v>342</v>
      </c>
      <c r="B21" s="21"/>
      <c r="C21" s="21"/>
      <c r="D21" s="22" t="n">
        <f aca="false">SUM(D18:D20)</f>
        <v>45000</v>
      </c>
      <c r="E21" s="21"/>
      <c r="F21" s="21"/>
      <c r="G21" s="22" t="n">
        <f aca="false">SUM(G18:G20)</f>
        <v>26400</v>
      </c>
      <c r="H21" s="22" t="n">
        <f aca="false">SUM(H18:H20)</f>
        <v>28200</v>
      </c>
    </row>
    <row r="22" customFormat="false" ht="15" hidden="false" customHeight="false" outlineLevel="0" collapsed="false">
      <c r="A22" s="4" t="s">
        <v>343</v>
      </c>
      <c r="H22" s="25" t="n">
        <f aca="false">H21-INDEX('Trial Balance'!$D$9:$D$39,MATCH(1300,'Trial Balance'!$A$9:$A$39,0))</f>
        <v>0</v>
      </c>
      <c r="I22" s="3" t="str">
        <f aca="false">IF(ROUND(H22,0)=0,"OK","Check")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1"/>
    <col collapsed="false" customWidth="true" hidden="false" outlineLevel="0" max="5" min="3" style="0" width="12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11" min="9" style="0" width="14"/>
    <col collapsed="false" customWidth="true" hidden="false" outlineLevel="0" max="12" min="12" style="0" width="11"/>
    <col collapsed="false" customWidth="true" hidden="false" outlineLevel="0" max="13" min="13" style="0" width="12"/>
  </cols>
  <sheetData>
    <row r="1" customFormat="false" ht="17.35" hidden="false" customHeight="false" outlineLevel="0" collapsed="false">
      <c r="A1" s="1" t="s">
        <v>344</v>
      </c>
    </row>
    <row r="2" customFormat="false" ht="15" hidden="false" customHeight="false" outlineLevel="0" collapsed="false">
      <c r="A2" s="2" t="s">
        <v>345</v>
      </c>
    </row>
    <row r="4" customFormat="false" ht="15" hidden="false" customHeight="false" outlineLevel="0" collapsed="false">
      <c r="A4" s="4" t="s">
        <v>346</v>
      </c>
      <c r="D4" s="34" t="n">
        <v>2</v>
      </c>
    </row>
    <row r="6" customFormat="false" ht="30" hidden="false" customHeight="true" outlineLevel="0" collapsed="false">
      <c r="A6" s="6" t="s">
        <v>347</v>
      </c>
      <c r="B6" s="6" t="s">
        <v>348</v>
      </c>
      <c r="C6" s="6" t="s">
        <v>349</v>
      </c>
      <c r="D6" s="6" t="s">
        <v>350</v>
      </c>
      <c r="E6" s="6" t="s">
        <v>351</v>
      </c>
      <c r="F6" s="6" t="s">
        <v>352</v>
      </c>
      <c r="G6" s="6" t="s">
        <v>178</v>
      </c>
      <c r="H6" s="6" t="s">
        <v>353</v>
      </c>
      <c r="I6" s="6" t="s">
        <v>354</v>
      </c>
      <c r="J6" s="6" t="s">
        <v>355</v>
      </c>
      <c r="K6" s="6" t="s">
        <v>356</v>
      </c>
      <c r="L6" s="6" t="s">
        <v>357</v>
      </c>
      <c r="M6" s="6" t="s">
        <v>358</v>
      </c>
    </row>
    <row r="7" customFormat="false" ht="15" hidden="false" customHeight="false" outlineLevel="0" collapsed="false">
      <c r="A7" s="9" t="s">
        <v>205</v>
      </c>
      <c r="B7" s="31" t="n">
        <v>6</v>
      </c>
      <c r="C7" s="17" t="n">
        <v>960</v>
      </c>
      <c r="D7" s="17" t="n">
        <v>730</v>
      </c>
      <c r="E7" s="19" t="n">
        <f aca="false">IF(C7=0,0,D7/C7)</f>
        <v>0.760416666666667</v>
      </c>
      <c r="F7" s="35" t="n">
        <v>0.75</v>
      </c>
      <c r="G7" s="4" t="str">
        <f aca="false">IF(ABS((E7-F7)*100)&lt;=$D$4,"Within target",IF(E7&gt;F7,"Above target","Below target"))</f>
        <v>Within target</v>
      </c>
      <c r="H7" s="17" t="n">
        <v>51000</v>
      </c>
      <c r="I7" s="36" t="n">
        <f aca="false">IF(D7=0,0,H7/D7)</f>
        <v>69.8630136986301</v>
      </c>
      <c r="J7" s="25" t="n">
        <f aca="false">-INDEX('Trial Balance'!$D$9:$D$39,MATCH(4000,'Trial Balance'!$A$9:$A$39,0))</f>
        <v>154000</v>
      </c>
      <c r="K7" s="36" t="n">
        <f aca="false">IF(D7=0,0,J7/D7)</f>
        <v>210.958904109589</v>
      </c>
      <c r="L7" s="17" t="n">
        <v>220</v>
      </c>
      <c r="M7" s="19" t="n">
        <f aca="false">IF(D7*L7=0,0,J7/(D7*L7))</f>
        <v>0.958904109589041</v>
      </c>
    </row>
    <row r="8" customFormat="false" ht="15" hidden="false" customHeight="false" outlineLevel="0" collapsed="false">
      <c r="A8" s="9" t="s">
        <v>208</v>
      </c>
      <c r="B8" s="31" t="n">
        <v>8</v>
      </c>
      <c r="C8" s="17" t="n">
        <v>1280</v>
      </c>
      <c r="D8" s="17" t="n">
        <v>1010</v>
      </c>
      <c r="E8" s="19" t="n">
        <f aca="false">IF(C8=0,0,D8/C8)</f>
        <v>0.7890625</v>
      </c>
      <c r="F8" s="35" t="n">
        <v>0.8</v>
      </c>
      <c r="G8" s="4" t="str">
        <f aca="false">IF(ABS((E8-F8)*100)&lt;=$D$4,"Within target",IF(E8&gt;F8,"Above target","Below target"))</f>
        <v>Within target</v>
      </c>
      <c r="H8" s="17" t="n">
        <v>48000</v>
      </c>
      <c r="I8" s="36" t="n">
        <f aca="false">IF(D8=0,0,H8/D8)</f>
        <v>47.5247524752475</v>
      </c>
      <c r="J8" s="25" t="n">
        <f aca="false">-INDEX('Trial Balance'!$D$9:$D$39,MATCH(4100,'Trial Balance'!$A$9:$A$39,0))</f>
        <v>144000</v>
      </c>
      <c r="K8" s="36" t="n">
        <f aca="false">IF(D8=0,0,J8/D8)</f>
        <v>142.574257425743</v>
      </c>
      <c r="L8" s="17" t="n">
        <v>150</v>
      </c>
      <c r="M8" s="19" t="n">
        <f aca="false">IF(D8*L8=0,0,J8/(D8*L8))</f>
        <v>0.950495049504951</v>
      </c>
    </row>
    <row r="9" customFormat="false" ht="15" hidden="false" customHeight="false" outlineLevel="0" collapsed="false">
      <c r="A9" s="9" t="s">
        <v>101</v>
      </c>
      <c r="B9" s="31" t="n">
        <v>5</v>
      </c>
      <c r="C9" s="17" t="n">
        <v>800</v>
      </c>
      <c r="D9" s="17" t="n">
        <v>590</v>
      </c>
      <c r="E9" s="19" t="n">
        <f aca="false">IF(C9=0,0,D9/C9)</f>
        <v>0.7375</v>
      </c>
      <c r="F9" s="35" t="n">
        <v>0.72</v>
      </c>
      <c r="G9" s="4" t="str">
        <f aca="false">IF(ABS((E9-F9)*100)&lt;=$D$4,"Within target",IF(E9&gt;F9,"Above target","Below target"))</f>
        <v>Within target</v>
      </c>
      <c r="H9" s="17" t="n">
        <v>31000</v>
      </c>
      <c r="I9" s="36" t="n">
        <f aca="false">IF(D9=0,0,H9/D9)</f>
        <v>52.5423728813559</v>
      </c>
      <c r="J9" s="25" t="n">
        <f aca="false">-INDEX('Trial Balance'!$D$9:$D$39,MATCH(4200,'Trial Balance'!$A$9:$A$39,0))</f>
        <v>70000</v>
      </c>
      <c r="K9" s="36" t="n">
        <f aca="false">IF(D9=0,0,J9/D9)</f>
        <v>118.64406779661</v>
      </c>
      <c r="L9" s="17" t="n">
        <v>125</v>
      </c>
      <c r="M9" s="19" t="n">
        <f aca="false">IF(D9*L9=0,0,J9/(D9*L9))</f>
        <v>0.949152542372881</v>
      </c>
    </row>
    <row r="10" customFormat="false" ht="15" hidden="false" customHeight="false" outlineLevel="0" collapsed="false">
      <c r="A10" s="9" t="s">
        <v>220</v>
      </c>
      <c r="B10" s="31" t="n">
        <v>2</v>
      </c>
      <c r="C10" s="17" t="n">
        <v>320</v>
      </c>
      <c r="D10" s="17" t="n">
        <v>150</v>
      </c>
      <c r="E10" s="19" t="n">
        <f aca="false">IF(C10=0,0,D10/C10)</f>
        <v>0.46875</v>
      </c>
      <c r="F10" s="35" t="n">
        <v>0.5</v>
      </c>
      <c r="G10" s="4" t="str">
        <f aca="false">IF(ABS((E10-F10)*100)&lt;=$D$4,"Within target",IF(E10&gt;F10,"Above target","Below target"))</f>
        <v>Below target</v>
      </c>
      <c r="H10" s="17" t="n">
        <v>12000</v>
      </c>
      <c r="I10" s="36" t="n">
        <f aca="false">IF(D10=0,0,H10/D10)</f>
        <v>80</v>
      </c>
      <c r="J10" s="25" t="n">
        <f aca="false">-INDEX('Trial Balance'!$D$9:$D$39,MATCH(4300,'Trial Balance'!$A$9:$A$39,0))</f>
        <v>20000</v>
      </c>
      <c r="K10" s="36" t="n">
        <f aca="false">IF(D10=0,0,J10/D10)</f>
        <v>133.333333333333</v>
      </c>
      <c r="L10" s="17" t="n">
        <v>140</v>
      </c>
      <c r="M10" s="19" t="n">
        <f aca="false">IF(D10*L10=0,0,J10/(D10*L10))</f>
        <v>0.952380952380952</v>
      </c>
    </row>
    <row r="11" customFormat="false" ht="15" hidden="false" customHeight="false" outlineLevel="0" collapsed="false">
      <c r="A11" s="21" t="s">
        <v>359</v>
      </c>
      <c r="B11" s="22" t="n">
        <f aca="false">SUM(B7:B10)</f>
        <v>21</v>
      </c>
      <c r="C11" s="22" t="n">
        <f aca="false">SUM(C7:C10)</f>
        <v>3360</v>
      </c>
      <c r="D11" s="22" t="n">
        <f aca="false">SUM(D7:D10)</f>
        <v>2480</v>
      </c>
      <c r="E11" s="26" t="n">
        <f aca="false">IF(C11=0,0,D11/C11)</f>
        <v>0.738095238095238</v>
      </c>
      <c r="F11" s="26" t="n">
        <f aca="false">SUMPRODUCT(F7:F10,C7:C10)/C11</f>
        <v>0.738095238095238</v>
      </c>
      <c r="G11" s="21" t="str">
        <f aca="false">IF(ABS((E11-F11)*100)&lt;=$D$4,"Within target",IF(E11&gt;F11,"Above target","Below target"))</f>
        <v>Within target</v>
      </c>
      <c r="H11" s="22" t="n">
        <f aca="false">SUM(H7:H10)</f>
        <v>142000</v>
      </c>
      <c r="I11" s="37" t="n">
        <f aca="false">IF(D11=0,0,H11/D11)</f>
        <v>57.258064516129</v>
      </c>
      <c r="J11" s="22" t="n">
        <f aca="false">SUM(J7:J10)</f>
        <v>388000</v>
      </c>
      <c r="K11" s="37" t="n">
        <f aca="false">IF(D11=0,0,J11/D11)</f>
        <v>156.451612903226</v>
      </c>
      <c r="L11" s="21"/>
      <c r="M11" s="26" t="n">
        <f aca="false">IF(SUMPRODUCT(D7:D10,L7:L10)=0,0,J11/SUMPRODUCT(D7:D10,L7:L10))</f>
        <v>0.953668428167629</v>
      </c>
    </row>
    <row r="12" customFormat="false" ht="15" hidden="false" customHeight="false" outlineLevel="0" collapsed="false">
      <c r="A12" s="4" t="s">
        <v>360</v>
      </c>
      <c r="H12" s="25" t="n">
        <f aca="false">H11-INDEX('Trial Balance'!$D$9:$D$39,MATCH(5000,'Trial Balance'!$A$9:$A$39,0))</f>
        <v>0</v>
      </c>
      <c r="I12" s="3" t="str">
        <f aca="false">IF(ROUND(H12,0)=0,"OK","Check")</f>
        <v>OK</v>
      </c>
    </row>
    <row r="15" customFormat="false" ht="15" hidden="false" customHeight="false" outlineLevel="0" collapsed="false">
      <c r="A15" s="3" t="s">
        <v>361</v>
      </c>
    </row>
    <row r="16" customFormat="false" ht="15" hidden="false" customHeight="false" outlineLevel="0" collapsed="false">
      <c r="A16" s="4" t="s">
        <v>362</v>
      </c>
      <c r="D16" s="25" t="n">
        <f aca="false">-INDEX('Trial Balance'!$D$9:$D$39,MATCH(2250,'Trial Balance'!$A$9:$A$39,0))</f>
        <v>10900</v>
      </c>
    </row>
    <row r="17" customFormat="false" ht="15" hidden="false" customHeight="false" outlineLevel="0" collapsed="false">
      <c r="A17" s="4" t="s">
        <v>363</v>
      </c>
      <c r="D17" s="25" t="n">
        <f aca="false">'Accruals and Prepaids'!F7</f>
        <v>12500</v>
      </c>
    </row>
    <row r="18" customFormat="false" ht="15" hidden="false" customHeight="false" outlineLevel="0" collapsed="false">
      <c r="A18" s="4" t="s">
        <v>364</v>
      </c>
      <c r="D18" s="25" t="n">
        <f aca="false">-INDEX('Trial Balance'!$D$9:$D$39,MATCH(2150,'Trial Balance'!$A$9:$A$39,0))</f>
        <v>112500</v>
      </c>
    </row>
    <row r="20" customFormat="false" ht="15" hidden="false" customHeight="false" outlineLevel="0" collapsed="false">
      <c r="A20" s="2" t="s">
        <v>365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366</v>
      </c>
    </row>
    <row r="2" customFormat="false" ht="15" hidden="false" customHeight="false" outlineLevel="0" collapsed="false">
      <c r="A2" s="2" t="s">
        <v>367</v>
      </c>
    </row>
    <row r="3" customFormat="false" ht="15" hidden="false" customHeight="false" outlineLevel="0" collapsed="false">
      <c r="A3" s="4" t="s">
        <v>312</v>
      </c>
      <c r="B3" s="27" t="n">
        <v>46295</v>
      </c>
    </row>
    <row r="4" customFormat="false" ht="15" hidden="false" customHeight="false" outlineLevel="0" collapsed="false">
      <c r="A4" s="4" t="s">
        <v>368</v>
      </c>
      <c r="B4" s="17" t="n">
        <v>437600</v>
      </c>
    </row>
    <row r="5" customFormat="false" ht="15" hidden="false" customHeight="false" outlineLevel="0" collapsed="false">
      <c r="A5" s="4" t="s">
        <v>369</v>
      </c>
      <c r="B5" s="18" t="n">
        <f aca="false">SUMIFS($D$17:$D$21,$B$17:$B$21,"Deposit in transit",$F$17:$F$21,"Y")</f>
        <v>14200</v>
      </c>
    </row>
    <row r="6" customFormat="false" ht="15" hidden="false" customHeight="false" outlineLevel="0" collapsed="false">
      <c r="A6" s="4" t="s">
        <v>370</v>
      </c>
      <c r="B6" s="18" t="n">
        <f aca="false">-SUMIFS($D$17:$D$21,$B$17:$B$21,"Outstanding payment",$F$17:$F$21,"Y")</f>
        <v>-27800</v>
      </c>
    </row>
    <row r="7" customFormat="false" ht="15" hidden="false" customHeight="false" outlineLevel="0" collapsed="false">
      <c r="A7" s="21" t="s">
        <v>371</v>
      </c>
      <c r="B7" s="22" t="n">
        <f aca="false">SUM(B4:B6)</f>
        <v>424000</v>
      </c>
    </row>
    <row r="9" customFormat="false" ht="15" hidden="false" customHeight="false" outlineLevel="0" collapsed="false">
      <c r="A9" s="4" t="s">
        <v>372</v>
      </c>
      <c r="B9" s="25" t="n">
        <f aca="false">INDEX('Trial Balance'!$D$9:$D$39,MATCH(1000,'Trial Balance'!$A$9:$A$39,0))</f>
        <v>412300</v>
      </c>
    </row>
    <row r="10" customFormat="false" ht="15" hidden="false" customHeight="false" outlineLevel="0" collapsed="false">
      <c r="A10" s="4" t="s">
        <v>373</v>
      </c>
      <c r="B10" s="18" t="n">
        <f aca="false">SUMIFS($D$17:$D$21,$B$17:$B$21,"Unrecorded receipt",$F$17:$F$21,"Y")</f>
        <v>12000</v>
      </c>
    </row>
    <row r="11" customFormat="false" ht="15" hidden="false" customHeight="false" outlineLevel="0" collapsed="false">
      <c r="A11" s="4" t="s">
        <v>374</v>
      </c>
      <c r="B11" s="18" t="n">
        <f aca="false">-SUMIFS($D$17:$D$21,$B$17:$B$21,"Bank fee not booked",$F$17:$F$21,"Y")</f>
        <v>-300</v>
      </c>
    </row>
    <row r="12" customFormat="false" ht="15" hidden="false" customHeight="false" outlineLevel="0" collapsed="false">
      <c r="A12" s="21" t="s">
        <v>375</v>
      </c>
      <c r="B12" s="22" t="n">
        <f aca="false">SUM(B9:B11)</f>
        <v>424000</v>
      </c>
    </row>
    <row r="13" customFormat="false" ht="15" hidden="false" customHeight="false" outlineLevel="0" collapsed="false">
      <c r="A13" s="3" t="s">
        <v>376</v>
      </c>
      <c r="B13" s="29" t="n">
        <f aca="false">B7-B12</f>
        <v>0</v>
      </c>
      <c r="C13" s="3" t="str">
        <f aca="false">IF(ROUND(B13,0)=0,"Reconciled","Not reconciled")</f>
        <v>Reconciled</v>
      </c>
    </row>
    <row r="15" customFormat="false" ht="15" hidden="false" customHeight="false" outlineLevel="0" collapsed="false">
      <c r="A15" s="3" t="s">
        <v>377</v>
      </c>
    </row>
    <row r="16" customFormat="false" ht="30" hidden="false" customHeight="true" outlineLevel="0" collapsed="false">
      <c r="A16" s="6" t="s">
        <v>378</v>
      </c>
      <c r="B16" s="6" t="s">
        <v>130</v>
      </c>
      <c r="C16" s="6" t="s">
        <v>379</v>
      </c>
      <c r="D16" s="6" t="s">
        <v>192</v>
      </c>
      <c r="E16" s="6" t="s">
        <v>380</v>
      </c>
      <c r="F16" s="6" t="s">
        <v>381</v>
      </c>
    </row>
    <row r="17" customFormat="false" ht="15" hidden="false" customHeight="false" outlineLevel="0" collapsed="false">
      <c r="A17" s="9" t="s">
        <v>382</v>
      </c>
      <c r="B17" s="9" t="s">
        <v>383</v>
      </c>
      <c r="C17" s="30" t="n">
        <v>46294</v>
      </c>
      <c r="D17" s="17" t="n">
        <v>14200</v>
      </c>
      <c r="E17" s="7" t="n">
        <f aca="false">$B$3-C17</f>
        <v>1</v>
      </c>
      <c r="F17" s="12" t="s">
        <v>384</v>
      </c>
    </row>
    <row r="18" customFormat="false" ht="15" hidden="false" customHeight="false" outlineLevel="0" collapsed="false">
      <c r="A18" s="9" t="s">
        <v>385</v>
      </c>
      <c r="B18" s="9" t="s">
        <v>386</v>
      </c>
      <c r="C18" s="30" t="n">
        <v>46290</v>
      </c>
      <c r="D18" s="17" t="n">
        <v>18300</v>
      </c>
      <c r="E18" s="7" t="n">
        <f aca="false">$B$3-C18</f>
        <v>5</v>
      </c>
      <c r="F18" s="12" t="s">
        <v>384</v>
      </c>
    </row>
    <row r="19" customFormat="false" ht="15" hidden="false" customHeight="false" outlineLevel="0" collapsed="false">
      <c r="A19" s="9" t="s">
        <v>387</v>
      </c>
      <c r="B19" s="9" t="s">
        <v>386</v>
      </c>
      <c r="C19" s="30" t="n">
        <v>46284</v>
      </c>
      <c r="D19" s="17" t="n">
        <v>9500</v>
      </c>
      <c r="E19" s="7" t="n">
        <f aca="false">$B$3-C19</f>
        <v>11</v>
      </c>
      <c r="F19" s="12" t="s">
        <v>384</v>
      </c>
    </row>
    <row r="20" customFormat="false" ht="15" hidden="false" customHeight="false" outlineLevel="0" collapsed="false">
      <c r="A20" s="9" t="s">
        <v>388</v>
      </c>
      <c r="B20" s="9" t="s">
        <v>389</v>
      </c>
      <c r="C20" s="30" t="n">
        <v>46295</v>
      </c>
      <c r="D20" s="17" t="n">
        <v>12000</v>
      </c>
      <c r="E20" s="7" t="n">
        <f aca="false">$B$3-C20</f>
        <v>0</v>
      </c>
      <c r="F20" s="12" t="s">
        <v>384</v>
      </c>
    </row>
    <row r="21" customFormat="false" ht="15" hidden="false" customHeight="false" outlineLevel="0" collapsed="false">
      <c r="A21" s="9" t="s">
        <v>390</v>
      </c>
      <c r="B21" s="9" t="s">
        <v>391</v>
      </c>
      <c r="C21" s="30" t="n">
        <v>46295</v>
      </c>
      <c r="D21" s="17" t="n">
        <v>300</v>
      </c>
      <c r="E21" s="7" t="n">
        <f aca="false">$B$3-C21</f>
        <v>0</v>
      </c>
      <c r="F21" s="12" t="s">
        <v>384</v>
      </c>
    </row>
    <row r="23" customFormat="false" ht="15" hidden="false" customHeight="false" outlineLevel="0" collapsed="false">
      <c r="A23" s="2" t="s">
        <v>392</v>
      </c>
    </row>
  </sheetData>
  <dataValidations count="1">
    <dataValidation allowBlank="false" errorStyle="stop" operator="between" showDropDown="false" showErrorMessage="false" showInputMessage="false" sqref="F17:F2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F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1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6" min="5" style="0" width="14"/>
  </cols>
  <sheetData>
    <row r="1" customFormat="false" ht="17.35" hidden="false" customHeight="false" outlineLevel="0" collapsed="false">
      <c r="A1" s="1" t="s">
        <v>393</v>
      </c>
    </row>
    <row r="2" customFormat="false" ht="15" hidden="false" customHeight="false" outlineLevel="0" collapsed="false">
      <c r="A2" s="2" t="s">
        <v>394</v>
      </c>
    </row>
    <row r="5" customFormat="false" ht="30" hidden="false" customHeight="true" outlineLevel="0" collapsed="false">
      <c r="A5" s="6" t="s">
        <v>13</v>
      </c>
      <c r="B5" s="6" t="s">
        <v>395</v>
      </c>
      <c r="C5" s="6" t="s">
        <v>14</v>
      </c>
      <c r="D5" s="6" t="s">
        <v>396</v>
      </c>
      <c r="E5" s="6"/>
      <c r="F5" s="6"/>
    </row>
    <row r="6" customFormat="false" ht="15" hidden="false" customHeight="false" outlineLevel="0" collapsed="false">
      <c r="A6" s="38" t="n">
        <v>1</v>
      </c>
      <c r="B6" s="3" t="s">
        <v>397</v>
      </c>
      <c r="C6" s="4" t="s">
        <v>243</v>
      </c>
      <c r="D6" s="4" t="s">
        <v>398</v>
      </c>
    </row>
    <row r="7" customFormat="false" ht="60" hidden="true" customHeight="true" outlineLevel="1" collapsed="false">
      <c r="A7" s="4"/>
      <c r="B7" s="39" t="s">
        <v>399</v>
      </c>
      <c r="C7" s="39"/>
      <c r="D7" s="39"/>
      <c r="E7" s="39"/>
      <c r="F7" s="39"/>
    </row>
    <row r="8" customFormat="false" ht="45" hidden="true" customHeight="true" outlineLevel="1" collapsed="false">
      <c r="A8" s="4"/>
      <c r="B8" s="39" t="s">
        <v>400</v>
      </c>
      <c r="C8" s="39"/>
      <c r="D8" s="39"/>
      <c r="E8" s="39"/>
      <c r="F8" s="39"/>
    </row>
    <row r="9" customFormat="false" ht="15" hidden="false" customHeight="false" outlineLevel="0" collapsed="false">
      <c r="A9" s="38" t="n">
        <v>2</v>
      </c>
      <c r="B9" s="3" t="s">
        <v>401</v>
      </c>
      <c r="C9" s="4" t="s">
        <v>310</v>
      </c>
      <c r="D9" s="4" t="s">
        <v>402</v>
      </c>
    </row>
    <row r="10" customFormat="false" ht="45" hidden="true" customHeight="true" outlineLevel="1" collapsed="false">
      <c r="A10" s="4"/>
      <c r="B10" s="39" t="s">
        <v>403</v>
      </c>
      <c r="C10" s="39"/>
      <c r="D10" s="39"/>
      <c r="E10" s="39"/>
      <c r="F10" s="39"/>
    </row>
    <row r="11" customFormat="false" ht="45" hidden="true" customHeight="true" outlineLevel="1" collapsed="false">
      <c r="A11" s="4"/>
      <c r="B11" s="39" t="s">
        <v>404</v>
      </c>
      <c r="C11" s="39"/>
      <c r="D11" s="39"/>
      <c r="E11" s="39"/>
      <c r="F11" s="39"/>
    </row>
    <row r="12" customFormat="false" ht="15" hidden="false" customHeight="false" outlineLevel="0" collapsed="false">
      <c r="A12" s="38" t="n">
        <v>3</v>
      </c>
      <c r="B12" s="3" t="s">
        <v>405</v>
      </c>
      <c r="C12" s="4" t="s">
        <v>243</v>
      </c>
      <c r="D12" s="4" t="s">
        <v>398</v>
      </c>
    </row>
    <row r="13" customFormat="false" ht="60" hidden="true" customHeight="true" outlineLevel="1" collapsed="false">
      <c r="A13" s="4"/>
      <c r="B13" s="39" t="s">
        <v>406</v>
      </c>
      <c r="C13" s="39"/>
      <c r="D13" s="39"/>
      <c r="E13" s="39"/>
      <c r="F13" s="39"/>
    </row>
    <row r="14" customFormat="false" ht="30" hidden="true" customHeight="true" outlineLevel="1" collapsed="false">
      <c r="A14" s="4"/>
      <c r="B14" s="39" t="s">
        <v>407</v>
      </c>
      <c r="C14" s="39"/>
      <c r="D14" s="39"/>
      <c r="E14" s="39"/>
      <c r="F14" s="39"/>
    </row>
    <row r="15" customFormat="false" ht="15" hidden="false" customHeight="false" outlineLevel="0" collapsed="false">
      <c r="A15" s="38" t="n">
        <v>4</v>
      </c>
      <c r="B15" s="3" t="s">
        <v>408</v>
      </c>
      <c r="C15" s="4" t="s">
        <v>124</v>
      </c>
      <c r="D15" s="4" t="s">
        <v>409</v>
      </c>
    </row>
    <row r="16" customFormat="false" ht="60" hidden="true" customHeight="true" outlineLevel="1" collapsed="false">
      <c r="A16" s="4"/>
      <c r="B16" s="39" t="s">
        <v>410</v>
      </c>
      <c r="C16" s="39"/>
      <c r="D16" s="39"/>
      <c r="E16" s="39"/>
      <c r="F16" s="39"/>
    </row>
    <row r="17" customFormat="false" ht="45" hidden="true" customHeight="true" outlineLevel="1" collapsed="false">
      <c r="A17" s="4"/>
      <c r="B17" s="39" t="s">
        <v>411</v>
      </c>
      <c r="C17" s="39"/>
      <c r="D17" s="39"/>
      <c r="E17" s="39"/>
      <c r="F17" s="39"/>
    </row>
    <row r="18" customFormat="false" ht="15" hidden="false" customHeight="false" outlineLevel="0" collapsed="false">
      <c r="A18" s="38" t="n">
        <v>5</v>
      </c>
      <c r="B18" s="3" t="s">
        <v>412</v>
      </c>
      <c r="C18" s="4" t="s">
        <v>182</v>
      </c>
      <c r="D18" s="4" t="s">
        <v>398</v>
      </c>
    </row>
    <row r="19" customFormat="false" ht="60" hidden="true" customHeight="true" outlineLevel="1" collapsed="false">
      <c r="A19" s="4"/>
      <c r="B19" s="39" t="s">
        <v>413</v>
      </c>
      <c r="C19" s="39"/>
      <c r="D19" s="39"/>
      <c r="E19" s="39"/>
      <c r="F19" s="39"/>
    </row>
    <row r="20" customFormat="false" ht="60" hidden="true" customHeight="true" outlineLevel="1" collapsed="false">
      <c r="A20" s="4"/>
      <c r="B20" s="39" t="s">
        <v>414</v>
      </c>
      <c r="C20" s="39"/>
      <c r="D20" s="39"/>
      <c r="E20" s="39"/>
      <c r="F20" s="39"/>
    </row>
    <row r="21" customFormat="false" ht="15" hidden="false" customHeight="false" outlineLevel="0" collapsed="false">
      <c r="A21" s="38" t="n">
        <v>6</v>
      </c>
      <c r="B21" s="3" t="s">
        <v>415</v>
      </c>
      <c r="C21" s="4" t="s">
        <v>182</v>
      </c>
      <c r="D21" s="4" t="s">
        <v>409</v>
      </c>
    </row>
    <row r="22" customFormat="false" ht="45" hidden="true" customHeight="true" outlineLevel="1" collapsed="false">
      <c r="A22" s="4"/>
      <c r="B22" s="39" t="s">
        <v>416</v>
      </c>
      <c r="C22" s="39"/>
      <c r="D22" s="39"/>
      <c r="E22" s="39"/>
      <c r="F22" s="39"/>
    </row>
    <row r="23" customFormat="false" ht="45" hidden="true" customHeight="true" outlineLevel="1" collapsed="false">
      <c r="A23" s="4"/>
      <c r="B23" s="39" t="s">
        <v>417</v>
      </c>
      <c r="C23" s="39"/>
      <c r="D23" s="39"/>
      <c r="E23" s="39"/>
      <c r="F23" s="39"/>
    </row>
    <row r="24" customFormat="false" ht="15" hidden="false" customHeight="false" outlineLevel="0" collapsed="false">
      <c r="A24" s="38" t="n">
        <v>7</v>
      </c>
      <c r="B24" s="3" t="s">
        <v>418</v>
      </c>
      <c r="C24" s="4" t="s">
        <v>310</v>
      </c>
      <c r="D24" s="4" t="s">
        <v>398</v>
      </c>
    </row>
    <row r="25" customFormat="false" ht="45" hidden="true" customHeight="true" outlineLevel="1" collapsed="false">
      <c r="A25" s="4"/>
      <c r="B25" s="39" t="s">
        <v>419</v>
      </c>
      <c r="C25" s="39"/>
      <c r="D25" s="39"/>
      <c r="E25" s="39"/>
      <c r="F25" s="39"/>
    </row>
    <row r="26" customFormat="false" ht="45" hidden="true" customHeight="true" outlineLevel="1" collapsed="false">
      <c r="A26" s="4"/>
      <c r="B26" s="39" t="s">
        <v>420</v>
      </c>
      <c r="C26" s="39"/>
      <c r="D26" s="39"/>
      <c r="E26" s="39"/>
      <c r="F26" s="39"/>
    </row>
    <row r="29" customFormat="false" ht="15" hidden="false" customHeight="false" outlineLevel="0" collapsed="false">
      <c r="A29" s="3" t="s">
        <v>421</v>
      </c>
    </row>
    <row r="30" customFormat="false" ht="15" hidden="false" customHeight="false" outlineLevel="0" collapsed="false">
      <c r="A30" s="2" t="s">
        <v>422</v>
      </c>
    </row>
    <row r="31" customFormat="false" ht="30" hidden="false" customHeight="true" outlineLevel="0" collapsed="false">
      <c r="A31" s="6" t="s">
        <v>13</v>
      </c>
      <c r="B31" s="6" t="s">
        <v>395</v>
      </c>
      <c r="C31" s="6" t="s">
        <v>423</v>
      </c>
      <c r="D31" s="6" t="s">
        <v>424</v>
      </c>
    </row>
    <row r="32" customFormat="false" ht="15" hidden="false" customHeight="false" outlineLevel="0" collapsed="false">
      <c r="A32" s="7" t="n">
        <v>1</v>
      </c>
      <c r="B32" s="4" t="str">
        <f aca="false">B6</f>
        <v>Duplicate vendor invoice</v>
      </c>
      <c r="C32" s="40"/>
      <c r="D32" s="40"/>
    </row>
    <row r="33" customFormat="false" ht="15" hidden="false" customHeight="false" outlineLevel="0" collapsed="false">
      <c r="A33" s="7" t="n">
        <v>2</v>
      </c>
      <c r="B33" s="4" t="str">
        <f aca="false">B9</f>
        <v>Missing month end accrual</v>
      </c>
      <c r="C33" s="40"/>
      <c r="D33" s="40"/>
    </row>
    <row r="34" customFormat="false" ht="15" hidden="false" customHeight="false" outlineLevel="0" collapsed="false">
      <c r="A34" s="7" t="n">
        <v>3</v>
      </c>
      <c r="B34" s="4" t="str">
        <f aca="false">B12</f>
        <v>Misclassified expense</v>
      </c>
      <c r="C34" s="40"/>
      <c r="D34" s="40"/>
    </row>
    <row r="35" customFormat="false" ht="15" hidden="false" customHeight="false" outlineLevel="0" collapsed="false">
      <c r="A35" s="7" t="n">
        <v>4</v>
      </c>
      <c r="B35" s="4" t="str">
        <f aca="false">B15</f>
        <v>Large but genuine movement</v>
      </c>
      <c r="C35" s="40"/>
      <c r="D35" s="40"/>
    </row>
    <row r="36" customFormat="false" ht="15" hidden="false" customHeight="false" outlineLevel="0" collapsed="false">
      <c r="A36" s="7" t="n">
        <v>5</v>
      </c>
      <c r="B36" s="4" t="str">
        <f aca="false">B18</f>
        <v>Stale receivable</v>
      </c>
      <c r="C36" s="40"/>
      <c r="D36" s="40"/>
    </row>
    <row r="37" customFormat="false" ht="15" hidden="false" customHeight="false" outlineLevel="0" collapsed="false">
      <c r="A37" s="7" t="n">
        <v>6</v>
      </c>
      <c r="B37" s="4" t="str">
        <f aca="false">B21</f>
        <v>Unbilled work not recognized</v>
      </c>
      <c r="C37" s="40"/>
      <c r="D37" s="40"/>
    </row>
    <row r="38" customFormat="false" ht="15" hidden="false" customHeight="false" outlineLevel="0" collapsed="false">
      <c r="A38" s="7" t="n">
        <v>7</v>
      </c>
      <c r="B38" s="4" t="str">
        <f aca="false">B24</f>
        <v>Prepaid amortization error</v>
      </c>
      <c r="C38" s="40"/>
      <c r="D38" s="40"/>
    </row>
    <row r="39" customFormat="false" ht="15" hidden="false" customHeight="false" outlineLevel="0" collapsed="false">
      <c r="B39" s="4" t="s">
        <v>425</v>
      </c>
      <c r="C39" s="40" t="n">
        <v>0</v>
      </c>
      <c r="D39" s="40" t="n">
        <v>0</v>
      </c>
    </row>
    <row r="40" customFormat="false" ht="15" hidden="false" customHeight="false" outlineLevel="0" collapsed="false">
      <c r="A40" s="21"/>
      <c r="B40" s="21" t="s">
        <v>426</v>
      </c>
      <c r="C40" s="41" t="n">
        <f aca="false">SUM(C32:C38)</f>
        <v>0</v>
      </c>
      <c r="D40" s="41" t="n">
        <f aca="false">SUM(D32:D38)</f>
        <v>0</v>
      </c>
    </row>
    <row r="41" customFormat="false" ht="15" hidden="false" customHeight="false" outlineLevel="0" collapsed="false">
      <c r="B41" s="4" t="s">
        <v>427</v>
      </c>
      <c r="C41" s="42"/>
      <c r="D41" s="42"/>
    </row>
    <row r="42" customFormat="false" ht="15" hidden="false" customHeight="false" outlineLevel="0" collapsed="false">
      <c r="B42" s="4" t="s">
        <v>428</v>
      </c>
      <c r="C42" s="27"/>
      <c r="D42" s="27"/>
    </row>
  </sheetData>
  <mergeCells count="14">
    <mergeCell ref="B7:F7"/>
    <mergeCell ref="B8:F8"/>
    <mergeCell ref="B10:F10"/>
    <mergeCell ref="B11:F11"/>
    <mergeCell ref="B13:F13"/>
    <mergeCell ref="B14:F14"/>
    <mergeCell ref="B16:F16"/>
    <mergeCell ref="B17:F17"/>
    <mergeCell ref="B19:F19"/>
    <mergeCell ref="B20:F20"/>
    <mergeCell ref="B22:F22"/>
    <mergeCell ref="B23:F23"/>
    <mergeCell ref="B25:F25"/>
    <mergeCell ref="B26:F26"/>
  </mergeCells>
  <dataValidations count="1">
    <dataValidation allowBlank="true" errorStyle="stop" operator="between" showDropDown="false" showErrorMessage="false" showInputMessage="false" sqref="C32:D38" type="list">
      <formula1>"0,1,2"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2026-10-15T06:51:38Z</dcterms:created>
  <dc:creator>openpyxl</dc:creator>
  <dc:description/>
  <dc:language>en-US</dc:language>
  <cp:lastModifiedBy/>
  <dcterms:modified xsi:type="dcterms:W3CDTF">2026-10-15T06:51:38Z</dcterms:modified>
  <cp:revision>0</cp:revision>
  <dc:subject/>
  <dc:title>Close Lab: Harbor and Pine Advisory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